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Users\JMartiR\Documents\MAPAS DE RIESGOS Y PLAN DE ACCIÓN 4 TRIMESTRE\PAGADURIA - CONTRATOS\"/>
    </mc:Choice>
  </mc:AlternateContent>
  <xr:revisionPtr revIDLastSave="0" documentId="8_{F3244895-66C4-4026-97DE-7F8A7E911438}" xr6:coauthVersionLast="36" xr6:coauthVersionMax="36" xr10:uidLastSave="{00000000-0000-0000-0000-000000000000}"/>
  <bookViews>
    <workbookView xWindow="0" yWindow="0" windowWidth="28800" windowHeight="11805" activeTab="1" xr2:uid="{00000000-000D-0000-FFFF-FFFF00000000}"/>
  </bookViews>
  <sheets>
    <sheet name="Analisis Indicadores" sheetId="9" r:id="rId1"/>
    <sheet name="Presupuesto_2024_Meta" sheetId="1" r:id="rId2"/>
    <sheet name="Presupuesto_2024_EjecutadoGfto " sheetId="2" r:id="rId3"/>
    <sheet name="Ejecución por Gasto " sheetId="11" r:id="rId4"/>
    <sheet name="Ejecución por Gasto2024" sheetId="12" r:id="rId5"/>
  </sheets>
  <definedNames>
    <definedName name="_xlnm._FilterDatabase" localSheetId="3" hidden="1">'Ejecución por Gasto '!$A$1:$F$57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2" i="11" l="1"/>
  <c r="E112" i="11" s="1"/>
  <c r="C112" i="11"/>
  <c r="D111" i="11"/>
  <c r="E111" i="11" s="1"/>
  <c r="C111" i="11"/>
  <c r="D110" i="11"/>
  <c r="E110" i="11" s="1"/>
  <c r="C110" i="11"/>
  <c r="D109" i="11"/>
  <c r="E109" i="11" s="1"/>
  <c r="C109" i="11"/>
  <c r="D108" i="11"/>
  <c r="E108" i="11" s="1"/>
  <c r="C108" i="11"/>
  <c r="D107" i="11"/>
  <c r="D113" i="11" s="1"/>
  <c r="C107" i="11"/>
  <c r="C113" i="11" s="1"/>
  <c r="E113" i="11" l="1"/>
  <c r="E107" i="11"/>
  <c r="J42" i="12" l="1"/>
  <c r="I42" i="12"/>
  <c r="D105" i="11" l="1"/>
  <c r="C105" i="11"/>
  <c r="E105" i="11" s="1"/>
  <c r="D104" i="11"/>
  <c r="E104" i="11" s="1"/>
  <c r="C104" i="11"/>
  <c r="E103" i="11"/>
  <c r="D103" i="11"/>
  <c r="C103" i="11"/>
  <c r="D102" i="11"/>
  <c r="E102" i="11" s="1"/>
  <c r="C102" i="11"/>
  <c r="C106" i="11" s="1"/>
  <c r="E101" i="11"/>
  <c r="D101" i="11"/>
  <c r="C101" i="11"/>
  <c r="E100" i="11"/>
  <c r="D100" i="11"/>
  <c r="D106" i="11" s="1"/>
  <c r="C100" i="11"/>
  <c r="J29" i="12"/>
  <c r="I29" i="12"/>
  <c r="E106" i="11" l="1"/>
  <c r="D98" i="11"/>
  <c r="D97" i="11"/>
  <c r="D96" i="11"/>
  <c r="D95" i="11"/>
  <c r="D94" i="11"/>
  <c r="E94" i="11" s="1"/>
  <c r="D93" i="11"/>
  <c r="C98" i="11"/>
  <c r="C97" i="11"/>
  <c r="C96" i="11"/>
  <c r="C95" i="11"/>
  <c r="C94" i="11"/>
  <c r="C93" i="11"/>
  <c r="E97" i="11" l="1"/>
  <c r="E95" i="11"/>
  <c r="E96" i="11"/>
  <c r="E98" i="11"/>
  <c r="E93" i="11"/>
  <c r="D99" i="11"/>
  <c r="C99" i="11"/>
  <c r="E99" i="11" l="1"/>
  <c r="I16" i="12"/>
  <c r="C9" i="12"/>
  <c r="D91" i="11" l="1"/>
  <c r="D90" i="11"/>
  <c r="E90" i="11" s="1"/>
  <c r="D89" i="11"/>
  <c r="D88" i="11"/>
  <c r="D87" i="11"/>
  <c r="D86" i="11"/>
  <c r="C91" i="11"/>
  <c r="E91" i="11" s="1"/>
  <c r="C90" i="11"/>
  <c r="C89" i="11"/>
  <c r="C88" i="11"/>
  <c r="C92" i="11" s="1"/>
  <c r="C87" i="11"/>
  <c r="C86" i="11"/>
  <c r="E89" i="11"/>
  <c r="E88" i="11"/>
  <c r="E87" i="11"/>
  <c r="D92" i="11" l="1"/>
  <c r="E92" i="11" s="1"/>
  <c r="E86" i="11"/>
  <c r="D14" i="12"/>
  <c r="C14" i="12"/>
  <c r="D13" i="12"/>
  <c r="D12" i="12"/>
  <c r="D11" i="12"/>
  <c r="D10" i="12"/>
  <c r="D9" i="12"/>
  <c r="C13" i="12"/>
  <c r="C12" i="12"/>
  <c r="C11" i="12"/>
  <c r="C10" i="12"/>
  <c r="D7" i="12"/>
  <c r="C7" i="12"/>
  <c r="D6" i="12"/>
  <c r="D5" i="12"/>
  <c r="D4" i="12"/>
  <c r="D3" i="12"/>
  <c r="J9" i="12"/>
  <c r="C6" i="12"/>
  <c r="C5" i="12"/>
  <c r="C4" i="12"/>
  <c r="C3" i="12"/>
  <c r="I9" i="12"/>
  <c r="D70" i="11" l="1"/>
  <c r="D69" i="11"/>
  <c r="D68" i="11"/>
  <c r="D67" i="11"/>
  <c r="D66" i="11"/>
  <c r="C70" i="11"/>
  <c r="C69" i="11"/>
  <c r="C68" i="11"/>
  <c r="C67" i="11"/>
  <c r="C66" i="11"/>
  <c r="D65" i="11"/>
  <c r="C65" i="11"/>
  <c r="E66" i="11" l="1"/>
  <c r="D71" i="11"/>
  <c r="E67" i="11"/>
  <c r="E68" i="11"/>
  <c r="E69" i="11"/>
  <c r="C71" i="11"/>
  <c r="E70" i="11"/>
  <c r="E65" i="11"/>
  <c r="E71" i="11" l="1"/>
  <c r="B4" i="1"/>
  <c r="B3" i="2"/>
  <c r="C4" i="1"/>
  <c r="C3" i="2"/>
  <c r="D27" i="12" l="1"/>
  <c r="D83" i="11" s="1"/>
  <c r="C27" i="12"/>
  <c r="C83" i="11" s="1"/>
  <c r="D26" i="12"/>
  <c r="D82" i="11" s="1"/>
  <c r="C26" i="12"/>
  <c r="C82" i="11" s="1"/>
  <c r="D25" i="12"/>
  <c r="D81" i="11" s="1"/>
  <c r="C25" i="12"/>
  <c r="C81" i="11" s="1"/>
  <c r="D24" i="12"/>
  <c r="D80" i="11" s="1"/>
  <c r="C24" i="12"/>
  <c r="C80" i="11" s="1"/>
  <c r="D23" i="12"/>
  <c r="D79" i="11" s="1"/>
  <c r="C23" i="12"/>
  <c r="C79" i="11" s="1"/>
  <c r="E83" i="11" l="1"/>
  <c r="E82" i="11"/>
  <c r="E80" i="11"/>
  <c r="E81" i="11"/>
  <c r="E79" i="11"/>
  <c r="R50" i="12"/>
  <c r="Q50" i="12"/>
  <c r="N50" i="12"/>
  <c r="M50" i="12"/>
  <c r="J50" i="12"/>
  <c r="D28" i="12" s="1"/>
  <c r="D84" i="11" s="1"/>
  <c r="I50" i="12"/>
  <c r="C28" i="12" s="1"/>
  <c r="C84" i="11" s="1"/>
  <c r="C85" i="11" s="1"/>
  <c r="R47" i="12"/>
  <c r="R51" i="12" s="1"/>
  <c r="J47" i="12"/>
  <c r="I47" i="12"/>
  <c r="N47" i="12"/>
  <c r="N51" i="12" s="1"/>
  <c r="M47" i="12"/>
  <c r="M51" i="12" s="1"/>
  <c r="Q47" i="12"/>
  <c r="Q51" i="12" s="1"/>
  <c r="E84" i="11" l="1"/>
  <c r="D85" i="11"/>
  <c r="E85" i="11" s="1"/>
  <c r="B6" i="1"/>
  <c r="B5" i="2"/>
  <c r="I51" i="12"/>
  <c r="J51" i="12"/>
  <c r="C6" i="1" l="1"/>
  <c r="C5" i="2"/>
  <c r="D20" i="12"/>
  <c r="D76" i="11" s="1"/>
  <c r="C20" i="12"/>
  <c r="C76" i="11" s="1"/>
  <c r="D19" i="12"/>
  <c r="D75" i="11" s="1"/>
  <c r="C19" i="12"/>
  <c r="C75" i="11" s="1"/>
  <c r="D18" i="12"/>
  <c r="D74" i="11" s="1"/>
  <c r="C18" i="12"/>
  <c r="C74" i="11" s="1"/>
  <c r="D17" i="12"/>
  <c r="D73" i="11" s="1"/>
  <c r="C17" i="12"/>
  <c r="C73" i="11" s="1"/>
  <c r="D16" i="12"/>
  <c r="D72" i="11" s="1"/>
  <c r="C16" i="12"/>
  <c r="C72" i="11" s="1"/>
  <c r="E74" i="11" l="1"/>
  <c r="E73" i="11"/>
  <c r="E75" i="11"/>
  <c r="E72" i="11"/>
  <c r="E76" i="11"/>
  <c r="N34" i="12"/>
  <c r="N38" i="12" s="1"/>
  <c r="M34" i="12"/>
  <c r="M38" i="12" s="1"/>
  <c r="J37" i="12"/>
  <c r="D21" i="12" s="1"/>
  <c r="D77" i="11" s="1"/>
  <c r="I37" i="12"/>
  <c r="C21" i="12" s="1"/>
  <c r="C77" i="11" s="1"/>
  <c r="C78" i="11" s="1"/>
  <c r="R37" i="12"/>
  <c r="Q37" i="12"/>
  <c r="N37" i="12"/>
  <c r="M37" i="12"/>
  <c r="R34" i="12"/>
  <c r="R38" i="12" s="1"/>
  <c r="Q34" i="12"/>
  <c r="Q38" i="12" s="1"/>
  <c r="J34" i="12"/>
  <c r="I34" i="12"/>
  <c r="E77" i="11" l="1"/>
  <c r="B4" i="2"/>
  <c r="B5" i="1"/>
  <c r="D78" i="11"/>
  <c r="E78" i="11" s="1"/>
  <c r="C5" i="1"/>
  <c r="C4" i="2"/>
  <c r="J38" i="12"/>
  <c r="I38" i="12"/>
  <c r="R24" i="12"/>
  <c r="Q24" i="12"/>
  <c r="N24" i="12"/>
  <c r="M24" i="12"/>
  <c r="J24" i="12"/>
  <c r="I24" i="12"/>
  <c r="J21" i="12"/>
  <c r="I21" i="12"/>
  <c r="R21" i="12"/>
  <c r="R25" i="12" s="1"/>
  <c r="Q21" i="12"/>
  <c r="Q25" i="12" s="1"/>
  <c r="J25" i="12" l="1"/>
  <c r="N21" i="12"/>
  <c r="N25" i="12" s="1"/>
  <c r="M21" i="12"/>
  <c r="M25" i="12" s="1"/>
  <c r="I25" i="12"/>
  <c r="R8" i="12"/>
  <c r="R12" i="12" s="1"/>
  <c r="Q8" i="12"/>
  <c r="Q12" i="12" s="1"/>
  <c r="E9" i="12"/>
  <c r="E10" i="12"/>
  <c r="E11" i="12"/>
  <c r="E12" i="12"/>
  <c r="E13" i="12"/>
  <c r="E14" i="12"/>
  <c r="E16" i="12"/>
  <c r="E17" i="12"/>
  <c r="E18" i="12"/>
  <c r="E19" i="12"/>
  <c r="E20" i="12"/>
  <c r="E21" i="12"/>
  <c r="E23" i="12"/>
  <c r="E24" i="12"/>
  <c r="E25" i="12"/>
  <c r="E26" i="12"/>
  <c r="E27" i="12"/>
  <c r="E28" i="12"/>
  <c r="D59" i="11"/>
  <c r="C59" i="11"/>
  <c r="D62" i="11"/>
  <c r="C62" i="11"/>
  <c r="D61" i="11"/>
  <c r="C61" i="11"/>
  <c r="D60" i="11"/>
  <c r="C60" i="11"/>
  <c r="R11" i="12"/>
  <c r="Q11" i="12"/>
  <c r="N11" i="12"/>
  <c r="M11" i="12"/>
  <c r="J8" i="12"/>
  <c r="I8" i="12"/>
  <c r="J11" i="12"/>
  <c r="D63" i="11" s="1"/>
  <c r="I11" i="12"/>
  <c r="C63" i="11" s="1"/>
  <c r="E28" i="11"/>
  <c r="D27" i="11"/>
  <c r="C27" i="11"/>
  <c r="E26" i="11"/>
  <c r="D25" i="11"/>
  <c r="E25" i="11" s="1"/>
  <c r="C25" i="11"/>
  <c r="D24" i="11"/>
  <c r="C24" i="11"/>
  <c r="D23" i="11"/>
  <c r="C23" i="11"/>
  <c r="E21" i="11"/>
  <c r="D20" i="11"/>
  <c r="C20" i="11"/>
  <c r="E20" i="11" s="1"/>
  <c r="E19" i="11"/>
  <c r="D18" i="11"/>
  <c r="E18" i="11" s="1"/>
  <c r="C18" i="11"/>
  <c r="D17" i="11"/>
  <c r="C17" i="11"/>
  <c r="D16" i="11"/>
  <c r="D22" i="11" s="1"/>
  <c r="C16" i="11"/>
  <c r="D15" i="11"/>
  <c r="C15" i="11"/>
  <c r="E14" i="11"/>
  <c r="E13" i="11"/>
  <c r="E12" i="11"/>
  <c r="E11" i="11"/>
  <c r="E10" i="11"/>
  <c r="E9" i="11"/>
  <c r="E7" i="11"/>
  <c r="D6" i="11"/>
  <c r="E6" i="11" s="1"/>
  <c r="C6" i="11"/>
  <c r="E5" i="11"/>
  <c r="D4" i="11"/>
  <c r="C4" i="11"/>
  <c r="E4" i="11" s="1"/>
  <c r="D3" i="11"/>
  <c r="E3" i="11" s="1"/>
  <c r="C3" i="11"/>
  <c r="D2" i="11"/>
  <c r="C2" i="11"/>
  <c r="E61" i="11" l="1"/>
  <c r="J12" i="12"/>
  <c r="E60" i="11"/>
  <c r="E63" i="11"/>
  <c r="E59" i="11"/>
  <c r="E62" i="11"/>
  <c r="E7" i="12"/>
  <c r="E16" i="11"/>
  <c r="C29" i="11"/>
  <c r="E27" i="11"/>
  <c r="E17" i="11"/>
  <c r="D29" i="11"/>
  <c r="E5" i="12"/>
  <c r="E2" i="11"/>
  <c r="C22" i="11"/>
  <c r="E22" i="11" s="1"/>
  <c r="E24" i="11"/>
  <c r="I12" i="12"/>
  <c r="C8" i="11"/>
  <c r="E15" i="11"/>
  <c r="C2" i="12"/>
  <c r="C58" i="11" s="1"/>
  <c r="C64" i="11" s="1"/>
  <c r="N8" i="12"/>
  <c r="N12" i="12" s="1"/>
  <c r="D2" i="12"/>
  <c r="D58" i="11" s="1"/>
  <c r="D64" i="11" s="1"/>
  <c r="M8" i="12"/>
  <c r="M12" i="12" s="1"/>
  <c r="E23" i="11"/>
  <c r="D8" i="11"/>
  <c r="E29" i="11" l="1"/>
  <c r="C3" i="1"/>
  <c r="C2" i="2"/>
  <c r="B2" i="2"/>
  <c r="B3" i="1"/>
  <c r="E58" i="11"/>
  <c r="E64" i="11"/>
  <c r="E8" i="11"/>
  <c r="E4" i="12"/>
  <c r="E3" i="12"/>
  <c r="C8" i="12"/>
  <c r="E6" i="12" l="1"/>
  <c r="E2" i="12"/>
  <c r="D8" i="12"/>
  <c r="E8" i="12" s="1"/>
  <c r="E56" i="11"/>
  <c r="E55" i="11"/>
  <c r="E54" i="11"/>
  <c r="E53" i="11"/>
  <c r="C57" i="11"/>
  <c r="D57" i="11"/>
  <c r="E51" i="11"/>
  <c r="E57" i="11" l="1"/>
  <c r="D5" i="2"/>
  <c r="E52" i="11"/>
  <c r="D29" i="12"/>
  <c r="C29" i="12"/>
  <c r="C22" i="12"/>
  <c r="D6" i="1" l="1"/>
  <c r="E29" i="12"/>
  <c r="D22" i="12"/>
  <c r="E22" i="12" s="1"/>
  <c r="E49" i="11" l="1"/>
  <c r="E48" i="11"/>
  <c r="E47" i="11"/>
  <c r="E46" i="11"/>
  <c r="E45" i="11"/>
  <c r="E44" i="11"/>
  <c r="C50" i="11"/>
  <c r="D50" i="11" l="1"/>
  <c r="E50" i="11" l="1"/>
  <c r="D5" i="1"/>
  <c r="D4" i="2"/>
  <c r="C15" i="12"/>
  <c r="D15" i="12"/>
  <c r="E15" i="12" l="1"/>
  <c r="D43" i="11"/>
  <c r="C43" i="11"/>
  <c r="D36" i="11"/>
  <c r="C36" i="11"/>
  <c r="E36" i="11" l="1"/>
  <c r="D3" i="2"/>
  <c r="E43" i="11"/>
  <c r="E38" i="11"/>
  <c r="E37" i="11"/>
  <c r="E30" i="11"/>
  <c r="E34" i="11"/>
  <c r="E32" i="11"/>
  <c r="E40" i="11"/>
  <c r="E33" i="11"/>
  <c r="E41" i="11"/>
  <c r="E42" i="11"/>
  <c r="E39" i="11"/>
  <c r="E35" i="11"/>
  <c r="E31" i="11"/>
  <c r="D4" i="1" l="1"/>
  <c r="D3" i="1"/>
  <c r="D2" i="2" l="1"/>
</calcChain>
</file>

<file path=xl/sharedStrings.xml><?xml version="1.0" encoding="utf-8"?>
<sst xmlns="http://schemas.openxmlformats.org/spreadsheetml/2006/main" count="370" uniqueCount="57">
  <si>
    <t>Marzo</t>
  </si>
  <si>
    <t>Junio</t>
  </si>
  <si>
    <t>Septiembre</t>
  </si>
  <si>
    <t>Diciembre</t>
  </si>
  <si>
    <t xml:space="preserve">Apropiacion </t>
  </si>
  <si>
    <t>Compromiso</t>
  </si>
  <si>
    <t>%</t>
  </si>
  <si>
    <t>Meta</t>
  </si>
  <si>
    <t>Ejecutado</t>
  </si>
  <si>
    <t>Periodo</t>
  </si>
  <si>
    <t>Ejecución Presupuestal Villavicencio</t>
  </si>
  <si>
    <t>GESTIÓN FINANCIERA Y PRESUPUESTAL</t>
  </si>
  <si>
    <t>Concepto de Gasto</t>
  </si>
  <si>
    <t>Gastos de personal</t>
  </si>
  <si>
    <t>Inversión</t>
  </si>
  <si>
    <t>Adquisición de bienes y servicios</t>
  </si>
  <si>
    <t>Gastos por tributos, multas y sanciones</t>
  </si>
  <si>
    <t>Tranferencias corrientes</t>
  </si>
  <si>
    <t>Disminución de pasivos</t>
  </si>
  <si>
    <t>Total</t>
  </si>
  <si>
    <t>1-2021</t>
  </si>
  <si>
    <t>2-2021</t>
  </si>
  <si>
    <t>3-2021</t>
  </si>
  <si>
    <t>4-2021</t>
  </si>
  <si>
    <t>1-2022</t>
  </si>
  <si>
    <t>2-2022</t>
  </si>
  <si>
    <t>3-2022</t>
  </si>
  <si>
    <t>4-2022</t>
  </si>
  <si>
    <t>Inversión CSF</t>
  </si>
  <si>
    <t>Gastos de Funcionamiento</t>
  </si>
  <si>
    <t>Inversión SSF</t>
  </si>
  <si>
    <t>Gastos de Inversión</t>
  </si>
  <si>
    <t>UNIDAD EJECUTORA 02 PRIMER TRIMESTRE</t>
  </si>
  <si>
    <t>UNIDAD EJECUTORA 08 PRIMER TRIMESTRE</t>
  </si>
  <si>
    <t>UNIDAD EJECUTORA 09 PRIMER TRIMESTRE</t>
  </si>
  <si>
    <t>UNIDAD EJECUTORA 02 SEGUNDO TRIMESTRE</t>
  </si>
  <si>
    <t>UNIDAD EJECUTORA 08 SEGUNDO TRIMESTRE</t>
  </si>
  <si>
    <t>UNIDAD EJECUTORA 09 SEGUNDO TRIMESTRE</t>
  </si>
  <si>
    <t>UNIDAD EJECUTORA 02 TERCER TRIMESTRE</t>
  </si>
  <si>
    <t>UNIDAD EJECUTORA 08 TERCER TRIMESTRE</t>
  </si>
  <si>
    <t>UNIDAD EJECUTORA 09 TERCER TRIMESTRE</t>
  </si>
  <si>
    <t>UNIDAD EJECUTORA 02 CUARTO TRIMESTRE</t>
  </si>
  <si>
    <t>UNIDAD EJECUTORA 08 CUARTO TRIMESTRE</t>
  </si>
  <si>
    <t>UNIDAD EJECUTORA 09 CUARTO TRIMESTRE</t>
  </si>
  <si>
    <t>1-2023</t>
  </si>
  <si>
    <t>2-2023</t>
  </si>
  <si>
    <t>3-2023</t>
  </si>
  <si>
    <t>4-2023</t>
  </si>
  <si>
    <t>1-2024</t>
  </si>
  <si>
    <t>2-2024</t>
  </si>
  <si>
    <t>3-2024</t>
  </si>
  <si>
    <t>4-2024</t>
  </si>
  <si>
    <t>-2024</t>
  </si>
  <si>
    <t>El valor ejecutado en este trimestre corresponde al 29,40% superando la meta en un 8,40%, para este trimestre. Respecto al primer trimestre del año anterior existe un aumento del 1,23%.</t>
  </si>
  <si>
    <t>El valor ejecutado en este trimestre corresponde al 60,01% superando la meta en un 13,01%, para este trimestre. Respecto al segundo trimestre del año anterior existe un aumento del 8,95%.</t>
  </si>
  <si>
    <t>El valor ejecutado en este trimestre corresponde al 82,23% superando la meta en un 12,23%, para este trimestre. Respecto al tercer trimestre del año anterior existe un aumento del 0,52%.</t>
  </si>
  <si>
    <t>El valor ejecutado en este trimestre corresponde al 99,52% por debajo de la meta en un 0,48%, para este trimestre. Respecto al cuarto trimestre del año anterior existe un aumento del 1,13%.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</si>
</sst>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_-* #,##0.000_-;\-* #,##0.0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1" xfId="0" applyFont="1" applyBorder="1" applyAlignment="1">
      <alignment horizontal="center"/>
    </xf>
    <xf numFmtId="164" fontId="0" fillId="0" borderId="6" xfId="1" applyNumberFormat="1" applyFont="1" applyBorder="1"/>
    <xf numFmtId="164" fontId="0" fillId="0" borderId="7" xfId="1" applyNumberFormat="1" applyFont="1" applyBorder="1"/>
    <xf numFmtId="164" fontId="0" fillId="0" borderId="8" xfId="1" applyNumberFormat="1" applyFont="1" applyBorder="1"/>
    <xf numFmtId="0" fontId="2" fillId="0" borderId="9" xfId="0" applyFont="1" applyBorder="1" applyAlignment="1">
      <alignment horizontal="center"/>
    </xf>
    <xf numFmtId="10" fontId="3" fillId="0" borderId="0" xfId="2" applyNumberFormat="1" applyFont="1" applyFill="1" applyBorder="1" applyAlignment="1">
      <alignment horizontal="center" vertical="center"/>
    </xf>
    <xf numFmtId="164" fontId="0" fillId="0" borderId="3" xfId="1" applyNumberFormat="1" applyFont="1" applyBorder="1"/>
    <xf numFmtId="0" fontId="2" fillId="0" borderId="1" xfId="0" applyFont="1" applyFill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43" fontId="0" fillId="0" borderId="7" xfId="1" applyFont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0" fontId="0" fillId="0" borderId="11" xfId="2" applyNumberFormat="1" applyFont="1" applyBorder="1"/>
    <xf numFmtId="0" fontId="4" fillId="2" borderId="9" xfId="0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center" vertical="center"/>
    </xf>
    <xf numFmtId="9" fontId="3" fillId="0" borderId="0" xfId="2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164" fontId="0" fillId="0" borderId="0" xfId="1" applyNumberFormat="1" applyFont="1" applyBorder="1"/>
    <xf numFmtId="43" fontId="0" fillId="0" borderId="0" xfId="1" applyFont="1" applyBorder="1"/>
    <xf numFmtId="0" fontId="0" fillId="0" borderId="0" xfId="0" applyBorder="1"/>
    <xf numFmtId="0" fontId="0" fillId="0" borderId="11" xfId="0" applyBorder="1"/>
    <xf numFmtId="164" fontId="0" fillId="0" borderId="10" xfId="1" applyNumberFormat="1" applyFont="1" applyBorder="1"/>
    <xf numFmtId="43" fontId="0" fillId="0" borderId="10" xfId="1" applyFont="1" applyBorder="1"/>
    <xf numFmtId="164" fontId="0" fillId="0" borderId="15" xfId="1" applyNumberFormat="1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2" fillId="0" borderId="19" xfId="0" applyFont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164" fontId="0" fillId="0" borderId="22" xfId="1" applyNumberFormat="1" applyFont="1" applyBorder="1"/>
    <xf numFmtId="43" fontId="0" fillId="0" borderId="22" xfId="1" applyFont="1" applyBorder="1"/>
    <xf numFmtId="164" fontId="0" fillId="0" borderId="23" xfId="1" applyNumberFormat="1" applyFont="1" applyBorder="1"/>
    <xf numFmtId="164" fontId="0" fillId="0" borderId="13" xfId="1" applyNumberFormat="1" applyFont="1" applyBorder="1"/>
    <xf numFmtId="43" fontId="0" fillId="0" borderId="13" xfId="1" applyFont="1" applyBorder="1"/>
    <xf numFmtId="164" fontId="0" fillId="0" borderId="14" xfId="1" applyNumberFormat="1" applyFont="1" applyBorder="1"/>
    <xf numFmtId="164" fontId="0" fillId="0" borderId="0" xfId="0" applyNumberFormat="1"/>
    <xf numFmtId="164" fontId="2" fillId="0" borderId="24" xfId="1" applyNumberFormat="1" applyFont="1" applyBorder="1"/>
    <xf numFmtId="43" fontId="2" fillId="0" borderId="24" xfId="1" applyNumberFormat="1" applyFont="1" applyBorder="1"/>
    <xf numFmtId="164" fontId="2" fillId="0" borderId="16" xfId="1" applyNumberFormat="1" applyFont="1" applyBorder="1"/>
    <xf numFmtId="43" fontId="2" fillId="0" borderId="16" xfId="1" applyNumberFormat="1" applyFont="1" applyBorder="1"/>
    <xf numFmtId="49" fontId="0" fillId="0" borderId="28" xfId="0" applyNumberFormat="1" applyBorder="1" applyAlignment="1">
      <alignment horizontal="left"/>
    </xf>
    <xf numFmtId="49" fontId="0" fillId="0" borderId="29" xfId="0" applyNumberFormat="1" applyBorder="1" applyAlignment="1">
      <alignment horizontal="left"/>
    </xf>
    <xf numFmtId="49" fontId="2" fillId="0" borderId="21" xfId="0" applyNumberFormat="1" applyFont="1" applyBorder="1" applyAlignment="1">
      <alignment horizontal="left"/>
    </xf>
    <xf numFmtId="164" fontId="2" fillId="0" borderId="25" xfId="1" applyNumberFormat="1" applyFont="1" applyBorder="1"/>
    <xf numFmtId="49" fontId="0" fillId="0" borderId="30" xfId="0" applyNumberFormat="1" applyBorder="1" applyAlignment="1">
      <alignment horizontal="left"/>
    </xf>
    <xf numFmtId="49" fontId="2" fillId="0" borderId="31" xfId="0" applyNumberFormat="1" applyFont="1" applyBorder="1" applyAlignment="1">
      <alignment horizontal="left"/>
    </xf>
    <xf numFmtId="164" fontId="2" fillId="0" borderId="17" xfId="1" applyNumberFormat="1" applyFont="1" applyBorder="1"/>
    <xf numFmtId="164" fontId="0" fillId="0" borderId="6" xfId="1" applyNumberFormat="1" applyFont="1" applyFill="1" applyBorder="1"/>
    <xf numFmtId="164" fontId="0" fillId="0" borderId="3" xfId="1" applyNumberFormat="1" applyFont="1" applyFill="1" applyBorder="1"/>
    <xf numFmtId="164" fontId="0" fillId="0" borderId="4" xfId="1" applyNumberFormat="1" applyFont="1" applyFill="1" applyBorder="1"/>
    <xf numFmtId="164" fontId="0" fillId="0" borderId="7" xfId="1" applyNumberFormat="1" applyFont="1" applyFill="1" applyBorder="1"/>
    <xf numFmtId="164" fontId="0" fillId="0" borderId="8" xfId="1" applyNumberFormat="1" applyFont="1" applyFill="1" applyBorder="1"/>
    <xf numFmtId="164" fontId="0" fillId="0" borderId="5" xfId="1" applyNumberFormat="1" applyFont="1" applyFill="1" applyBorder="1"/>
    <xf numFmtId="49" fontId="0" fillId="0" borderId="30" xfId="0" applyNumberFormat="1" applyFont="1" applyBorder="1" applyAlignment="1">
      <alignment horizontal="left"/>
    </xf>
    <xf numFmtId="43" fontId="0" fillId="0" borderId="0" xfId="0" applyNumberFormat="1"/>
    <xf numFmtId="165" fontId="0" fillId="0" borderId="0" xfId="0" applyNumberFormat="1"/>
    <xf numFmtId="41" fontId="0" fillId="0" borderId="0" xfId="3" applyFont="1"/>
    <xf numFmtId="41" fontId="0" fillId="0" borderId="0" xfId="0" applyNumberFormat="1"/>
    <xf numFmtId="164" fontId="0" fillId="0" borderId="0" xfId="2" applyNumberFormat="1" applyFont="1" applyBorder="1"/>
    <xf numFmtId="10" fontId="0" fillId="0" borderId="0" xfId="2" applyNumberFormat="1" applyFont="1"/>
    <xf numFmtId="49" fontId="2" fillId="0" borderId="30" xfId="0" applyNumberFormat="1" applyFont="1" applyBorder="1" applyAlignment="1">
      <alignment horizontal="left"/>
    </xf>
    <xf numFmtId="164" fontId="2" fillId="0" borderId="22" xfId="1" applyNumberFormat="1" applyFont="1" applyBorder="1"/>
    <xf numFmtId="0" fontId="2" fillId="0" borderId="24" xfId="0" applyFont="1" applyBorder="1" applyAlignment="1">
      <alignment horizontal="center" wrapText="1"/>
    </xf>
    <xf numFmtId="0" fontId="2" fillId="0" borderId="24" xfId="0" applyFont="1" applyBorder="1" applyAlignment="1">
      <alignment horizontal="center"/>
    </xf>
    <xf numFmtId="0" fontId="2" fillId="0" borderId="33" xfId="0" applyFont="1" applyBorder="1" applyAlignment="1">
      <alignment horizontal="center" wrapText="1"/>
    </xf>
    <xf numFmtId="0" fontId="2" fillId="0" borderId="34" xfId="0" applyFont="1" applyFill="1" applyBorder="1" applyAlignment="1">
      <alignment horizontal="center"/>
    </xf>
    <xf numFmtId="164" fontId="0" fillId="0" borderId="35" xfId="1" applyNumberFormat="1" applyFont="1" applyBorder="1"/>
    <xf numFmtId="0" fontId="2" fillId="0" borderId="20" xfId="0" applyFont="1" applyBorder="1" applyAlignment="1">
      <alignment horizontal="center"/>
    </xf>
    <xf numFmtId="43" fontId="2" fillId="0" borderId="10" xfId="1" applyFont="1" applyBorder="1"/>
    <xf numFmtId="164" fontId="0" fillId="0" borderId="32" xfId="1" applyNumberFormat="1" applyFont="1" applyBorder="1"/>
    <xf numFmtId="43" fontId="2" fillId="0" borderId="22" xfId="1" applyFont="1" applyBorder="1"/>
    <xf numFmtId="10" fontId="0" fillId="0" borderId="7" xfId="2" applyNumberFormat="1" applyFont="1" applyBorder="1"/>
    <xf numFmtId="43" fontId="0" fillId="0" borderId="8" xfId="1" applyFont="1" applyBorder="1"/>
    <xf numFmtId="10" fontId="0" fillId="0" borderId="8" xfId="2" applyNumberFormat="1" applyFont="1" applyBorder="1"/>
    <xf numFmtId="43" fontId="2" fillId="0" borderId="16" xfId="1" applyFont="1" applyBorder="1"/>
    <xf numFmtId="164" fontId="0" fillId="0" borderId="36" xfId="1" applyNumberFormat="1" applyFont="1" applyBorder="1"/>
    <xf numFmtId="43" fontId="0" fillId="0" borderId="0" xfId="1" applyNumberFormat="1" applyFont="1"/>
    <xf numFmtId="166" fontId="0" fillId="0" borderId="0" xfId="0" applyNumberFormat="1"/>
    <xf numFmtId="43" fontId="0" fillId="0" borderId="0" xfId="1" applyFont="1"/>
    <xf numFmtId="164" fontId="2" fillId="0" borderId="36" xfId="1" applyNumberFormat="1" applyFont="1" applyBorder="1"/>
    <xf numFmtId="49" fontId="2" fillId="0" borderId="37" xfId="0" applyNumberFormat="1" applyFont="1" applyBorder="1" applyAlignment="1">
      <alignment horizontal="left"/>
    </xf>
    <xf numFmtId="43" fontId="2" fillId="0" borderId="36" xfId="1" applyNumberFormat="1" applyFont="1" applyBorder="1"/>
    <xf numFmtId="164" fontId="2" fillId="0" borderId="38" xfId="1" applyNumberFormat="1" applyFont="1" applyBorder="1"/>
    <xf numFmtId="49" fontId="0" fillId="0" borderId="39" xfId="0" applyNumberFormat="1" applyBorder="1" applyAlignment="1">
      <alignment horizontal="left"/>
    </xf>
    <xf numFmtId="43" fontId="0" fillId="0" borderId="35" xfId="1" applyFont="1" applyBorder="1"/>
    <xf numFmtId="164" fontId="0" fillId="0" borderId="40" xfId="1" applyNumberFormat="1" applyFont="1" applyBorder="1"/>
    <xf numFmtId="49" fontId="0" fillId="0" borderId="27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0" fontId="2" fillId="0" borderId="10" xfId="0" applyFont="1" applyBorder="1" applyAlignment="1">
      <alignment horizontal="center"/>
    </xf>
  </cellXfs>
  <cellStyles count="4">
    <cellStyle name="Millares" xfId="1" builtinId="3"/>
    <cellStyle name="Millares [0]" xfId="3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Ejecución/Meta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Presupuesto_2024_Meta!$D$1</c:f>
              <c:strCache>
                <c:ptCount val="1"/>
                <c:pt idx="0">
                  <c:v>Ejecutado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Presupuesto_2024_Meta!$A$2:$A$6</c:f>
              <c:strCache>
                <c:ptCount val="5"/>
                <c:pt idx="0">
                  <c:v>-2024</c:v>
                </c:pt>
                <c:pt idx="1">
                  <c:v>1-2024</c:v>
                </c:pt>
                <c:pt idx="2">
                  <c:v>2-2024</c:v>
                </c:pt>
                <c:pt idx="3">
                  <c:v>3-2024</c:v>
                </c:pt>
                <c:pt idx="4">
                  <c:v>4-2024</c:v>
                </c:pt>
              </c:strCache>
            </c:strRef>
          </c:cat>
          <c:val>
            <c:numRef>
              <c:f>Presupuesto_2024_Meta!$D$2:$D$6</c:f>
              <c:numCache>
                <c:formatCode>_(* #,##0.00_);_(* \(#,##0.00\);_(* "-"??_);_(@_)</c:formatCode>
                <c:ptCount val="5"/>
                <c:pt idx="1">
                  <c:v>29.402155574325988</c:v>
                </c:pt>
                <c:pt idx="2">
                  <c:v>60.008553472555192</c:v>
                </c:pt>
                <c:pt idx="3">
                  <c:v>82.22942642714311</c:v>
                </c:pt>
                <c:pt idx="4">
                  <c:v>99.519788543427666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2D-4050-B57C-9EADD4AA4BDA}"/>
            </c:ext>
          </c:extLst>
        </c:ser>
        <c:ser>
          <c:idx val="1"/>
          <c:order val="1"/>
          <c:tx>
            <c:strRef>
              <c:f>Presupuesto_2024_Meta!$E$1</c:f>
              <c:strCache>
                <c:ptCount val="1"/>
                <c:pt idx="0">
                  <c:v>Meta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Presupuesto_2024_Meta!$A$2:$A$6</c:f>
              <c:strCache>
                <c:ptCount val="5"/>
                <c:pt idx="0">
                  <c:v>-2024</c:v>
                </c:pt>
                <c:pt idx="1">
                  <c:v>1-2024</c:v>
                </c:pt>
                <c:pt idx="2">
                  <c:v>2-2024</c:v>
                </c:pt>
                <c:pt idx="3">
                  <c:v>3-2024</c:v>
                </c:pt>
                <c:pt idx="4">
                  <c:v>4-2024</c:v>
                </c:pt>
              </c:strCache>
            </c:strRef>
          </c:cat>
          <c:val>
            <c:numRef>
              <c:f>Presupuesto_2024_Meta!$E$2:$E$6</c:f>
              <c:numCache>
                <c:formatCode>_-* #,##0_-;\-* #,##0_-;_-* "-"??_-;_-@_-</c:formatCode>
                <c:ptCount val="5"/>
                <c:pt idx="1">
                  <c:v>21</c:v>
                </c:pt>
                <c:pt idx="2">
                  <c:v>47</c:v>
                </c:pt>
                <c:pt idx="3">
                  <c:v>70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2D-4050-B57C-9EADD4AA4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51777856"/>
        <c:axId val="-1951507280"/>
      </c:barChart>
      <c:catAx>
        <c:axId val="-1951777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Periodo</a:t>
                </a:r>
              </a:p>
            </c:rich>
          </c:tx>
          <c:layout>
            <c:manualLayout>
              <c:xMode val="edge"/>
              <c:yMode val="edge"/>
              <c:x val="0.78041258256764257"/>
              <c:y val="0.94919441761227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951507280"/>
        <c:crosses val="autoZero"/>
        <c:auto val="0"/>
        <c:lblAlgn val="ctr"/>
        <c:lblOffset val="100"/>
        <c:noMultiLvlLbl val="0"/>
      </c:catAx>
      <c:valAx>
        <c:axId val="-195150728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Valor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951777856"/>
        <c:crosses val="autoZero"/>
        <c:crossBetween val="between"/>
        <c:majorUnit val="50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Apropiación/Ejecución Marzo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'Presupuesto_2024_EjecutadoGfto '!$A$2</c:f>
              <c:strCache>
                <c:ptCount val="1"/>
                <c:pt idx="0">
                  <c:v>Marzo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5.1388888888888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73600174978126"/>
                      <c:h val="0.183402960046660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F455-4E5F-AA8B-DB4375FE28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'Presupuesto_2024_EjecutadoGfto '!$B$1:$C$1</c:f>
              <c:strCache>
                <c:ptCount val="2"/>
                <c:pt idx="0">
                  <c:v>Apropiacion </c:v>
                </c:pt>
                <c:pt idx="1">
                  <c:v>Compromiso</c:v>
                </c:pt>
              </c:strCache>
            </c:strRef>
          </c:cat>
          <c:val>
            <c:numRef>
              <c:f>'Presupuesto_2024_EjecutadoGfto '!$B$2:$C$2</c:f>
              <c:numCache>
                <c:formatCode>_-* #,##0_-;\-* #,##0_-;_-* "-"??_-;_-@_-</c:formatCode>
                <c:ptCount val="2"/>
                <c:pt idx="0">
                  <c:v>124484693181</c:v>
                </c:pt>
                <c:pt idx="1">
                  <c:v>36601183155.299995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2C-4D12-BE2B-597705F2F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951502384"/>
        <c:axId val="-1705717312"/>
        <c:axId val="0"/>
      </c:bar3DChart>
      <c:catAx>
        <c:axId val="-195150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705717312"/>
        <c:crosses val="autoZero"/>
        <c:auto val="1"/>
        <c:lblAlgn val="ctr"/>
        <c:lblOffset val="100"/>
        <c:noMultiLvlLbl val="0"/>
      </c:catAx>
      <c:valAx>
        <c:axId val="-170571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951502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baseline="0">
                <a:effectLst/>
              </a:rPr>
              <a:t>Apropiación/Ejecución Junio</a:t>
            </a:r>
            <a:endParaRPr lang="es-ES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'Presupuesto_2024_EjecutadoGfto '!$A$3</c:f>
              <c:strCache>
                <c:ptCount val="1"/>
                <c:pt idx="0">
                  <c:v>Junio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'Presupuesto_2024_EjecutadoGfto '!$B$1:$C$1</c:f>
              <c:strCache>
                <c:ptCount val="2"/>
                <c:pt idx="0">
                  <c:v>Apropiacion </c:v>
                </c:pt>
                <c:pt idx="1">
                  <c:v>Compromiso</c:v>
                </c:pt>
              </c:strCache>
            </c:strRef>
          </c:cat>
          <c:val>
            <c:numRef>
              <c:f>'Presupuesto_2024_EjecutadoGfto '!$B$3:$C$3</c:f>
              <c:numCache>
                <c:formatCode>_-* #,##0_-;\-* #,##0_-;_-* "-"??_-;_-@_-</c:formatCode>
                <c:ptCount val="2"/>
                <c:pt idx="0">
                  <c:v>139750056984</c:v>
                </c:pt>
                <c:pt idx="1">
                  <c:v>83861987673.169998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55-43AE-828A-981F629AF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705715136"/>
        <c:axId val="-1705708064"/>
        <c:axId val="0"/>
      </c:bar3DChart>
      <c:catAx>
        <c:axId val="-170571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705708064"/>
        <c:crosses val="autoZero"/>
        <c:auto val="1"/>
        <c:lblAlgn val="ctr"/>
        <c:lblOffset val="100"/>
        <c:noMultiLvlLbl val="0"/>
      </c:catAx>
      <c:valAx>
        <c:axId val="-170570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705715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baseline="0">
                <a:effectLst/>
              </a:rPr>
              <a:t>Apropiación/Ejecución Septiembre</a:t>
            </a:r>
            <a:endParaRPr lang="es-ES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'Presupuesto_2024_EjecutadoGfto '!$A$4</c:f>
              <c:strCache>
                <c:ptCount val="1"/>
                <c:pt idx="0">
                  <c:v>Septiembre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E27F-4BF2-9CC4-A5473EDF6BD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E27F-4BF2-9CC4-A5473EDF6BDD}"/>
              </c:ext>
            </c:extLst>
          </c:dPt>
          <c:dLbls>
            <c:dLbl>
              <c:idx val="0"/>
              <c:layout>
                <c:manualLayout>
                  <c:x val="4.583333333333333E-2"/>
                  <c:y val="-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429155730533682"/>
                      <c:h val="0.183402960046660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E27F-4BF2-9CC4-A5473EDF6B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'Presupuesto_2024_EjecutadoGfto '!$B$1:$C$1</c:f>
              <c:strCache>
                <c:ptCount val="2"/>
                <c:pt idx="0">
                  <c:v>Apropiacion </c:v>
                </c:pt>
                <c:pt idx="1">
                  <c:v>Compromiso</c:v>
                </c:pt>
              </c:strCache>
            </c:strRef>
          </c:cat>
          <c:val>
            <c:numRef>
              <c:f>'Presupuesto_2024_EjecutadoGfto '!$B$4:$C$4</c:f>
              <c:numCache>
                <c:formatCode>_-* #,##0_-;\-* #,##0_-;_-* "-"??_-;_-@_-</c:formatCode>
                <c:ptCount val="2"/>
                <c:pt idx="0">
                  <c:v>168078099830</c:v>
                </c:pt>
                <c:pt idx="1">
                  <c:v>138209657439.85001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7F-4BF2-9CC4-A5473EDF6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705716224"/>
        <c:axId val="-1705714592"/>
        <c:axId val="0"/>
      </c:bar3DChart>
      <c:catAx>
        <c:axId val="-170571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705714592"/>
        <c:crosses val="autoZero"/>
        <c:auto val="1"/>
        <c:lblAlgn val="ctr"/>
        <c:lblOffset val="100"/>
        <c:noMultiLvlLbl val="0"/>
      </c:catAx>
      <c:valAx>
        <c:axId val="-170571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705716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baseline="0">
                <a:effectLst/>
              </a:rPr>
              <a:t>Apropiación/Ejecución Diciembre</a:t>
            </a:r>
            <a:endParaRPr lang="es-ES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'Presupuesto_2024_EjecutadoGfto '!$A$5</c:f>
              <c:strCache>
                <c:ptCount val="1"/>
                <c:pt idx="0">
                  <c:v>Diciembre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7.361111111111111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540266841644795"/>
                      <c:h val="0.183402960046660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C2DA-42D7-BDC6-DA29C79520E2}"/>
                </c:ext>
              </c:extLst>
            </c:dLbl>
            <c:dLbl>
              <c:idx val="1"/>
              <c:layout>
                <c:manualLayout>
                  <c:x val="6.2499999999999896E-2"/>
                  <c:y val="-1.3888888888888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429155730533682"/>
                      <c:h val="0.183402960046660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1DDB-4E95-96FA-7ECDC38548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'Presupuesto_2024_EjecutadoGfto '!$B$1:$C$1</c:f>
              <c:strCache>
                <c:ptCount val="2"/>
                <c:pt idx="0">
                  <c:v>Apropiacion </c:v>
                </c:pt>
                <c:pt idx="1">
                  <c:v>Compromiso</c:v>
                </c:pt>
              </c:strCache>
            </c:strRef>
          </c:cat>
          <c:val>
            <c:numRef>
              <c:f>'Presupuesto_2024_EjecutadoGfto '!$B$5:$C$5</c:f>
              <c:numCache>
                <c:formatCode>_-* #,##0_-;\-* #,##0_-;_-* "-"??_-;_-@_-</c:formatCode>
                <c:ptCount val="2"/>
                <c:pt idx="0">
                  <c:v>213203944162</c:v>
                </c:pt>
                <c:pt idx="1">
                  <c:v>212180114396.26999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DB-4E95-96FA-7ECDC3854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705708608"/>
        <c:axId val="-1705713504"/>
        <c:axId val="0"/>
      </c:bar3DChart>
      <c:catAx>
        <c:axId val="-170570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705713504"/>
        <c:crosses val="autoZero"/>
        <c:auto val="1"/>
        <c:lblAlgn val="ctr"/>
        <c:lblOffset val="100"/>
        <c:noMultiLvlLbl val="0"/>
      </c:catAx>
      <c:valAx>
        <c:axId val="-170571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705708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Apropiación/Ejecución Trimestres Año 2024</a:t>
            </a:r>
            <a:endParaRPr lang="es-ES" sz="1200" b="1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2246922572178478"/>
          <c:y val="0.14652777777777778"/>
          <c:w val="0.75864107611548559"/>
          <c:h val="0.62628062117235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'Presupuesto_2024_EjecutadoGfto '!$B$1</c:f>
              <c:strCache>
                <c:ptCount val="1"/>
                <c:pt idx="0">
                  <c:v>Apropiacion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6.3846639365206584E-3"/>
                  <c:y val="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AF-4A56-A52D-3555AC3AD7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'Presupuesto_2024_EjecutadoGfto '!$A$2:$A$5</c:f>
              <c:strCache>
                <c:ptCount val="4"/>
                <c:pt idx="0">
                  <c:v>Marzo</c:v>
                </c:pt>
                <c:pt idx="1">
                  <c:v>Junio</c:v>
                </c:pt>
                <c:pt idx="2">
                  <c:v>Septiembre</c:v>
                </c:pt>
                <c:pt idx="3">
                  <c:v>Diciembre</c:v>
                </c:pt>
              </c:strCache>
            </c:strRef>
          </c:cat>
          <c:val>
            <c:numRef>
              <c:f>'Presupuesto_2024_EjecutadoGfto '!$B$2:$B$5</c:f>
              <c:numCache>
                <c:formatCode>_-* #,##0_-;\-* #,##0_-;_-* "-"??_-;_-@_-</c:formatCode>
                <c:ptCount val="4"/>
                <c:pt idx="0">
                  <c:v>124484693181</c:v>
                </c:pt>
                <c:pt idx="1">
                  <c:v>139750056984</c:v>
                </c:pt>
                <c:pt idx="2">
                  <c:v>168078099830</c:v>
                </c:pt>
                <c:pt idx="3">
                  <c:v>213203944162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AF-4A56-A52D-3555AC3AD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-1705719488"/>
        <c:axId val="-1705718944"/>
      </c:barChart>
      <c:lineChart>
        <c:grouping val="standard"/>
        <c:varyColors val="0"/>
        <c:ser>
          <c:idx val="1"/>
          <c:order val="1"/>
          <c:tx>
            <c:strRef>
              <c:f>'Presupuesto_2024_EjecutadoGfto '!$C$1</c:f>
              <c:strCache>
                <c:ptCount val="1"/>
                <c:pt idx="0">
                  <c:v>Compromiso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3"/>
              <c:layout>
                <c:manualLayout>
                  <c:x val="6.9149259565764992E-3"/>
                  <c:y val="6.0185185185185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AF-4A56-A52D-3555AC3AD7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'Presupuesto_2024_EjecutadoGfto '!$A$2:$A$5</c:f>
              <c:strCache>
                <c:ptCount val="4"/>
                <c:pt idx="0">
                  <c:v>Marzo</c:v>
                </c:pt>
                <c:pt idx="1">
                  <c:v>Junio</c:v>
                </c:pt>
                <c:pt idx="2">
                  <c:v>Septiembre</c:v>
                </c:pt>
                <c:pt idx="3">
                  <c:v>Diciembre</c:v>
                </c:pt>
              </c:strCache>
            </c:strRef>
          </c:cat>
          <c:val>
            <c:numRef>
              <c:f>'Presupuesto_2024_EjecutadoGfto '!$C$2:$C$5</c:f>
              <c:numCache>
                <c:formatCode>_-* #,##0_-;\-* #,##0_-;_-* "-"??_-;_-@_-</c:formatCode>
                <c:ptCount val="4"/>
                <c:pt idx="0">
                  <c:v>36601183155.299995</c:v>
                </c:pt>
                <c:pt idx="1">
                  <c:v>83861987673.169998</c:v>
                </c:pt>
                <c:pt idx="2">
                  <c:v>138209657439.85001</c:v>
                </c:pt>
                <c:pt idx="3">
                  <c:v>212180114396.26999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7AF-4A56-A52D-3555AC3AD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05719488"/>
        <c:axId val="-1705718944"/>
      </c:lineChart>
      <c:catAx>
        <c:axId val="-1705719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Periodos</a:t>
                </a:r>
              </a:p>
            </c:rich>
          </c:tx>
          <c:layout>
            <c:manualLayout>
              <c:xMode val="edge"/>
              <c:yMode val="edge"/>
              <c:x val="0.81942217318424437"/>
              <c:y val="0.847800379119276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705718944"/>
        <c:crosses val="autoZero"/>
        <c:auto val="1"/>
        <c:lblAlgn val="ctr"/>
        <c:lblOffset val="100"/>
        <c:noMultiLvlLbl val="0"/>
      </c:catAx>
      <c:valAx>
        <c:axId val="-170571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Valor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705719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936097994427023"/>
          <c:y val="0.90335593467483233"/>
          <c:w val="0.44952952303787908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228600</xdr:rowOff>
        </xdr:to>
        <xdr:sp macro="" textlink="">
          <xdr:nvSpPr>
            <xdr:cNvPr id="6145" name="Control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914400</xdr:colOff>
          <xdr:row>0</xdr:row>
          <xdr:rowOff>228600</xdr:rowOff>
        </xdr:to>
        <xdr:sp macro="" textlink="">
          <xdr:nvSpPr>
            <xdr:cNvPr id="6146" name="Control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0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914400</xdr:colOff>
          <xdr:row>0</xdr:row>
          <xdr:rowOff>228600</xdr:rowOff>
        </xdr:to>
        <xdr:sp macro="" textlink="">
          <xdr:nvSpPr>
            <xdr:cNvPr id="6147" name="Control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0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914400</xdr:colOff>
          <xdr:row>0</xdr:row>
          <xdr:rowOff>228600</xdr:rowOff>
        </xdr:to>
        <xdr:sp macro="" textlink="">
          <xdr:nvSpPr>
            <xdr:cNvPr id="6148" name="Control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266699</xdr:colOff>
      <xdr:row>7</xdr:row>
      <xdr:rowOff>142875</xdr:rowOff>
    </xdr:from>
    <xdr:to>
      <xdr:col>12</xdr:col>
      <xdr:colOff>314325</xdr:colOff>
      <xdr:row>34</xdr:row>
      <xdr:rowOff>114299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771525</xdr:colOff>
      <xdr:row>8</xdr:row>
      <xdr:rowOff>85725</xdr:rowOff>
    </xdr:from>
    <xdr:to>
      <xdr:col>5</xdr:col>
      <xdr:colOff>504825</xdr:colOff>
      <xdr:row>22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5</xdr:col>
      <xdr:colOff>533400</xdr:colOff>
      <xdr:row>39</xdr:row>
      <xdr:rowOff>76200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41</xdr:row>
      <xdr:rowOff>0</xdr:rowOff>
    </xdr:from>
    <xdr:to>
      <xdr:col>5</xdr:col>
      <xdr:colOff>533400</xdr:colOff>
      <xdr:row>55</xdr:row>
      <xdr:rowOff>76200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57</xdr:row>
      <xdr:rowOff>0</xdr:rowOff>
    </xdr:from>
    <xdr:to>
      <xdr:col>5</xdr:col>
      <xdr:colOff>533400</xdr:colOff>
      <xdr:row>71</xdr:row>
      <xdr:rowOff>76200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23811</xdr:colOff>
      <xdr:row>8</xdr:row>
      <xdr:rowOff>128587</xdr:rowOff>
    </xdr:from>
    <xdr:to>
      <xdr:col>12</xdr:col>
      <xdr:colOff>238124</xdr:colOff>
      <xdr:row>23</xdr:row>
      <xdr:rowOff>14287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2.emf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F13"/>
  <sheetViews>
    <sheetView workbookViewId="0">
      <selection activeCell="E4" sqref="E4"/>
    </sheetView>
  </sheetViews>
  <sheetFormatPr baseColWidth="10" defaultRowHeight="15" x14ac:dyDescent="0.25"/>
  <cols>
    <col min="1" max="1" width="13.85546875" customWidth="1"/>
    <col min="2" max="2" width="23.28515625" customWidth="1"/>
    <col min="5" max="5" width="64.85546875" customWidth="1"/>
  </cols>
  <sheetData>
    <row r="1" spans="1:6" ht="53.25" customHeight="1" thickBot="1" x14ac:dyDescent="0.3">
      <c r="A1" s="17" t="s">
        <v>10</v>
      </c>
      <c r="B1" s="18" t="s">
        <v>11</v>
      </c>
      <c r="C1" s="16">
        <v>1</v>
      </c>
      <c r="D1" s="16">
        <v>2024</v>
      </c>
      <c r="E1" s="20" t="s">
        <v>53</v>
      </c>
    </row>
    <row r="2" spans="1:6" ht="39" thickBot="1" x14ac:dyDescent="0.3">
      <c r="A2" s="17" t="s">
        <v>10</v>
      </c>
      <c r="B2" s="18" t="s">
        <v>11</v>
      </c>
      <c r="C2" s="16">
        <v>2</v>
      </c>
      <c r="D2" s="16">
        <v>2024</v>
      </c>
      <c r="E2" s="20" t="s">
        <v>54</v>
      </c>
    </row>
    <row r="3" spans="1:6" ht="39" thickBot="1" x14ac:dyDescent="0.3">
      <c r="A3" s="17" t="s">
        <v>10</v>
      </c>
      <c r="B3" s="18" t="s">
        <v>11</v>
      </c>
      <c r="C3" s="16">
        <v>3</v>
      </c>
      <c r="D3" s="16">
        <v>2024</v>
      </c>
      <c r="E3" s="20" t="s">
        <v>55</v>
      </c>
    </row>
    <row r="4" spans="1:6" ht="49.5" customHeight="1" thickBot="1" x14ac:dyDescent="0.3">
      <c r="A4" s="17" t="s">
        <v>10</v>
      </c>
      <c r="B4" s="18" t="s">
        <v>11</v>
      </c>
      <c r="C4" s="16">
        <v>4</v>
      </c>
      <c r="D4" s="16">
        <v>2024</v>
      </c>
      <c r="E4" s="20" t="s">
        <v>56</v>
      </c>
    </row>
    <row r="12" spans="1:6" x14ac:dyDescent="0.25">
      <c r="E12" s="65"/>
      <c r="F12" s="66"/>
    </row>
    <row r="13" spans="1:6" x14ac:dyDescent="0.25">
      <c r="E13" s="65"/>
    </row>
  </sheetData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6148" r:id="rId4" name="Control 4">
          <controlPr defaultSize="0" r:id="rId5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228600</xdr:rowOff>
              </to>
            </anchor>
          </controlPr>
        </control>
      </mc:Choice>
      <mc:Fallback>
        <control shapeId="6148" r:id="rId4" name="Control 4"/>
      </mc:Fallback>
    </mc:AlternateContent>
    <mc:AlternateContent xmlns:mc="http://schemas.openxmlformats.org/markup-compatibility/2006">
      <mc:Choice Requires="x14">
        <control shapeId="6147" r:id="rId6" name="Control 3">
          <controlPr defaultSize="0" r:id="rId5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228600</xdr:rowOff>
              </to>
            </anchor>
          </controlPr>
        </control>
      </mc:Choice>
      <mc:Fallback>
        <control shapeId="6147" r:id="rId6" name="Control 3"/>
      </mc:Fallback>
    </mc:AlternateContent>
    <mc:AlternateContent xmlns:mc="http://schemas.openxmlformats.org/markup-compatibility/2006">
      <mc:Choice Requires="x14">
        <control shapeId="6146" r:id="rId7" name="Control 2">
          <controlPr defaultSize="0" r:id="rId5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228600</xdr:rowOff>
              </to>
            </anchor>
          </controlPr>
        </control>
      </mc:Choice>
      <mc:Fallback>
        <control shapeId="6146" r:id="rId7" name="Control 2"/>
      </mc:Fallback>
    </mc:AlternateContent>
    <mc:AlternateContent xmlns:mc="http://schemas.openxmlformats.org/markup-compatibility/2006">
      <mc:Choice Requires="x14">
        <control shapeId="6145" r:id="rId8" name="Control 1">
          <controlPr defaultSize="0" r:id="rId9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228600</xdr:rowOff>
              </to>
            </anchor>
          </controlPr>
        </control>
      </mc:Choice>
      <mc:Fallback>
        <control shapeId="6145" r:id="rId8" name="Control 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tabSelected="1" workbookViewId="0"/>
  </sheetViews>
  <sheetFormatPr baseColWidth="10" defaultRowHeight="15" x14ac:dyDescent="0.25"/>
  <cols>
    <col min="1" max="1" width="12" customWidth="1"/>
    <col min="2" max="2" width="18.85546875" bestFit="1" customWidth="1"/>
    <col min="3" max="3" width="16.28515625" bestFit="1" customWidth="1"/>
    <col min="5" max="5" width="9.28515625" customWidth="1"/>
  </cols>
  <sheetData>
    <row r="1" spans="1:7" ht="15.75" thickBot="1" x14ac:dyDescent="0.3">
      <c r="A1" s="5" t="s">
        <v>9</v>
      </c>
      <c r="B1" s="5" t="s">
        <v>4</v>
      </c>
      <c r="C1" s="1" t="s">
        <v>5</v>
      </c>
      <c r="D1" s="12" t="s">
        <v>8</v>
      </c>
      <c r="E1" s="12" t="s">
        <v>7</v>
      </c>
    </row>
    <row r="2" spans="1:7" x14ac:dyDescent="0.25">
      <c r="A2" s="13" t="s">
        <v>52</v>
      </c>
      <c r="B2" s="6"/>
      <c r="C2" s="11"/>
      <c r="D2" s="27"/>
      <c r="E2" s="27"/>
    </row>
    <row r="3" spans="1:7" x14ac:dyDescent="0.25">
      <c r="A3" s="13" t="s">
        <v>48</v>
      </c>
      <c r="B3" s="54">
        <f>+'Ejecución por Gasto '!C64</f>
        <v>124484693181</v>
      </c>
      <c r="C3" s="55">
        <f>+'Ejecución por Gasto '!D64</f>
        <v>36601183155.299995</v>
      </c>
      <c r="D3" s="15">
        <f>(+C3/B3)*100</f>
        <v>29.402155574325988</v>
      </c>
      <c r="E3" s="7">
        <v>21</v>
      </c>
      <c r="G3" s="42"/>
    </row>
    <row r="4" spans="1:7" x14ac:dyDescent="0.25">
      <c r="A4" s="13" t="s">
        <v>49</v>
      </c>
      <c r="B4" s="54">
        <f>+'Ejecución por Gasto '!C71</f>
        <v>139750056984</v>
      </c>
      <c r="C4" s="56">
        <f>+'Ejecución por Gasto '!D71</f>
        <v>83861987673.169998</v>
      </c>
      <c r="D4" s="15">
        <f t="shared" ref="D4:D6" si="0">(+C4/B4)*100</f>
        <v>60.008553472555192</v>
      </c>
      <c r="E4" s="7">
        <v>47</v>
      </c>
      <c r="G4" s="61"/>
    </row>
    <row r="5" spans="1:7" x14ac:dyDescent="0.25">
      <c r="A5" s="13" t="s">
        <v>50</v>
      </c>
      <c r="B5" s="57">
        <f>+'Ejecución por Gasto '!C78</f>
        <v>168078099830</v>
      </c>
      <c r="C5" s="56">
        <f>+'Ejecución por Gasto '!D78</f>
        <v>138209657439.85001</v>
      </c>
      <c r="D5" s="15">
        <f t="shared" si="0"/>
        <v>82.22942642714311</v>
      </c>
      <c r="E5" s="7">
        <v>70</v>
      </c>
    </row>
    <row r="6" spans="1:7" ht="15.75" thickBot="1" x14ac:dyDescent="0.3">
      <c r="A6" s="14" t="s">
        <v>51</v>
      </c>
      <c r="B6" s="58">
        <f>+'Ejecución por Gasto '!C85</f>
        <v>213203944162</v>
      </c>
      <c r="C6" s="59">
        <f>+'Ejecución por Gasto '!D85</f>
        <v>212180114396.26999</v>
      </c>
      <c r="D6" s="79">
        <f t="shared" si="0"/>
        <v>99.519788543427666</v>
      </c>
      <c r="E6" s="8">
        <v>100</v>
      </c>
    </row>
    <row r="8" spans="1:7" x14ac:dyDescent="0.25">
      <c r="B8" s="65"/>
      <c r="C8" s="24"/>
      <c r="D8" s="25"/>
    </row>
    <row r="9" spans="1:7" x14ac:dyDescent="0.25">
      <c r="B9" s="21"/>
      <c r="C9" s="26"/>
      <c r="D9" s="25"/>
    </row>
    <row r="10" spans="1:7" x14ac:dyDescent="0.25">
      <c r="B10" s="22"/>
      <c r="C10" s="26"/>
      <c r="D10" s="26"/>
    </row>
    <row r="11" spans="1:7" x14ac:dyDescent="0.25">
      <c r="B11" s="23"/>
      <c r="C11" s="26"/>
      <c r="D11" s="26"/>
    </row>
    <row r="12" spans="1:7" x14ac:dyDescent="0.25">
      <c r="B12" s="21"/>
      <c r="C12" s="26"/>
      <c r="D12" s="26"/>
    </row>
    <row r="16" spans="1:7" ht="12" customHeight="1" x14ac:dyDescent="0.25">
      <c r="B16" s="10"/>
    </row>
    <row r="17" spans="2:2" x14ac:dyDescent="0.25">
      <c r="B17" s="10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1"/>
  <sheetViews>
    <sheetView topLeftCell="A46" workbookViewId="0">
      <selection activeCell="I63" sqref="I63"/>
    </sheetView>
  </sheetViews>
  <sheetFormatPr baseColWidth="10" defaultRowHeight="15" x14ac:dyDescent="0.25"/>
  <cols>
    <col min="1" max="1" width="12" customWidth="1"/>
    <col min="2" max="3" width="18.85546875" bestFit="1" customWidth="1"/>
    <col min="9" max="9" width="12" bestFit="1" customWidth="1"/>
  </cols>
  <sheetData>
    <row r="1" spans="1:9" ht="15.75" thickBot="1" x14ac:dyDescent="0.3">
      <c r="A1" s="1" t="s">
        <v>9</v>
      </c>
      <c r="B1" s="5" t="s">
        <v>4</v>
      </c>
      <c r="C1" s="5" t="s">
        <v>5</v>
      </c>
      <c r="D1" s="9" t="s">
        <v>6</v>
      </c>
    </row>
    <row r="2" spans="1:9" x14ac:dyDescent="0.25">
      <c r="A2" s="2" t="s">
        <v>0</v>
      </c>
      <c r="B2" s="54">
        <f>+'Ejecución por Gasto '!C64</f>
        <v>124484693181</v>
      </c>
      <c r="C2" s="55">
        <f>+'Ejecución por Gasto '!D64</f>
        <v>36601183155.299995</v>
      </c>
      <c r="D2" s="19">
        <f>+C2/B2</f>
        <v>0.29402155574325989</v>
      </c>
    </row>
    <row r="3" spans="1:9" x14ac:dyDescent="0.25">
      <c r="A3" s="3" t="s">
        <v>1</v>
      </c>
      <c r="B3" s="54">
        <f>+'Ejecución por Gasto '!C71</f>
        <v>139750056984</v>
      </c>
      <c r="C3" s="56">
        <f>+'Ejecución por Gasto '!D71</f>
        <v>83861987673.169998</v>
      </c>
      <c r="D3" s="78">
        <f>+C3/B3</f>
        <v>0.60008553472555193</v>
      </c>
    </row>
    <row r="4" spans="1:9" x14ac:dyDescent="0.25">
      <c r="A4" s="3" t="s">
        <v>2</v>
      </c>
      <c r="B4" s="57">
        <f>+'Ejecución por Gasto '!C78</f>
        <v>168078099830</v>
      </c>
      <c r="C4" s="56">
        <f>+'Ejecución por Gasto '!D78</f>
        <v>138209657439.85001</v>
      </c>
      <c r="D4" s="78">
        <f>+C4/B4</f>
        <v>0.82229426427143115</v>
      </c>
    </row>
    <row r="5" spans="1:9" ht="15.75" thickBot="1" x14ac:dyDescent="0.3">
      <c r="A5" s="4" t="s">
        <v>3</v>
      </c>
      <c r="B5" s="58">
        <f>+'Ejecución por Gasto '!C85</f>
        <v>213203944162</v>
      </c>
      <c r="C5" s="59">
        <f>+'Ejecución por Gasto '!D85</f>
        <v>212180114396.26999</v>
      </c>
      <c r="D5" s="80">
        <f>+C5/B5</f>
        <v>0.99519788543427667</v>
      </c>
    </row>
    <row r="6" spans="1:9" x14ac:dyDescent="0.25">
      <c r="I6" s="62"/>
    </row>
    <row r="8" spans="1:9" x14ac:dyDescent="0.25">
      <c r="B8" s="10"/>
    </row>
    <row r="9" spans="1:9" x14ac:dyDescent="0.25">
      <c r="B9" s="10"/>
    </row>
    <row r="10" spans="1:9" x14ac:dyDescent="0.25">
      <c r="B10" s="10"/>
    </row>
    <row r="11" spans="1:9" x14ac:dyDescent="0.25">
      <c r="B11" s="10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J113"/>
  <sheetViews>
    <sheetView workbookViewId="0">
      <selection activeCell="E116" sqref="E116"/>
    </sheetView>
  </sheetViews>
  <sheetFormatPr baseColWidth="10" defaultRowHeight="15" x14ac:dyDescent="0.25"/>
  <cols>
    <col min="1" max="1" width="12" customWidth="1"/>
    <col min="2" max="2" width="35.85546875" bestFit="1" customWidth="1"/>
    <col min="3" max="3" width="18.85546875" bestFit="1" customWidth="1"/>
    <col min="4" max="4" width="16.7109375" customWidth="1"/>
    <col min="6" max="6" width="9.28515625" customWidth="1"/>
    <col min="7" max="7" width="18" customWidth="1"/>
    <col min="8" max="8" width="15.140625" bestFit="1" customWidth="1"/>
    <col min="9" max="9" width="17.85546875" bestFit="1" customWidth="1"/>
  </cols>
  <sheetData>
    <row r="1" spans="1:7" ht="15" customHeight="1" thickBot="1" x14ac:dyDescent="0.3">
      <c r="A1" s="31" t="s">
        <v>9</v>
      </c>
      <c r="B1" s="32" t="s">
        <v>12</v>
      </c>
      <c r="C1" s="33" t="s">
        <v>4</v>
      </c>
      <c r="D1" s="33" t="s">
        <v>5</v>
      </c>
      <c r="E1" s="34" t="s">
        <v>8</v>
      </c>
      <c r="F1" s="35" t="s">
        <v>7</v>
      </c>
    </row>
    <row r="2" spans="1:7" hidden="1" x14ac:dyDescent="0.25">
      <c r="A2" s="95" t="s">
        <v>20</v>
      </c>
      <c r="B2" s="47" t="s">
        <v>13</v>
      </c>
      <c r="C2" s="39">
        <f>58194862131+1088882091+3411273461</f>
        <v>62695017683</v>
      </c>
      <c r="D2" s="39">
        <f>17254977796+985148375</f>
        <v>18240126171</v>
      </c>
      <c r="E2" s="40">
        <f>(+D2/C2)*100</f>
        <v>29.093422165101142</v>
      </c>
      <c r="F2" s="41"/>
    </row>
    <row r="3" spans="1:7" hidden="1" x14ac:dyDescent="0.25">
      <c r="A3" s="93"/>
      <c r="B3" s="48" t="s">
        <v>15</v>
      </c>
      <c r="C3" s="28">
        <f>5304960960+187725722+568716990</f>
        <v>6061403672</v>
      </c>
      <c r="D3" s="28">
        <f>3125514384+11867443+428753501</f>
        <v>3566135328</v>
      </c>
      <c r="E3" s="29">
        <f t="shared" ref="E3:E7" si="0">(+D3/C3)*100</f>
        <v>58.833490078764719</v>
      </c>
      <c r="F3" s="30"/>
    </row>
    <row r="4" spans="1:7" hidden="1" x14ac:dyDescent="0.25">
      <c r="A4" s="93"/>
      <c r="B4" s="48" t="s">
        <v>17</v>
      </c>
      <c r="C4" s="28">
        <f>400000000+64000000</f>
        <v>464000000</v>
      </c>
      <c r="D4" s="28">
        <f>94543375+14526247</f>
        <v>109069622</v>
      </c>
      <c r="E4" s="29">
        <f t="shared" si="0"/>
        <v>23.50638405172414</v>
      </c>
      <c r="F4" s="30"/>
    </row>
    <row r="5" spans="1:7" hidden="1" x14ac:dyDescent="0.25">
      <c r="A5" s="93"/>
      <c r="B5" s="48" t="s">
        <v>18</v>
      </c>
      <c r="C5" s="28"/>
      <c r="D5" s="28"/>
      <c r="E5" s="29" t="e">
        <f t="shared" si="0"/>
        <v>#DIV/0!</v>
      </c>
      <c r="F5" s="30"/>
    </row>
    <row r="6" spans="1:7" hidden="1" x14ac:dyDescent="0.25">
      <c r="A6" s="93"/>
      <c r="B6" s="60" t="s">
        <v>16</v>
      </c>
      <c r="C6" s="36">
        <f>19157577+150000</f>
        <v>19307577</v>
      </c>
      <c r="D6" s="36">
        <f>10344102+133000</f>
        <v>10477102</v>
      </c>
      <c r="E6" s="29">
        <f t="shared" si="0"/>
        <v>54.264198972248046</v>
      </c>
      <c r="F6" s="38"/>
    </row>
    <row r="7" spans="1:7" hidden="1" x14ac:dyDescent="0.25">
      <c r="A7" s="93"/>
      <c r="B7" s="51" t="s">
        <v>14</v>
      </c>
      <c r="C7" s="36"/>
      <c r="D7" s="36"/>
      <c r="E7" s="37" t="e">
        <f t="shared" si="0"/>
        <v>#DIV/0!</v>
      </c>
      <c r="F7" s="38"/>
    </row>
    <row r="8" spans="1:7" ht="15.75" hidden="1" thickBot="1" x14ac:dyDescent="0.3">
      <c r="A8" s="94"/>
      <c r="B8" s="52" t="s">
        <v>19</v>
      </c>
      <c r="C8" s="45">
        <f>SUM(C2:C7)</f>
        <v>69239728932</v>
      </c>
      <c r="D8" s="45">
        <f>SUM(D2:D7)</f>
        <v>21925808223</v>
      </c>
      <c r="E8" s="46">
        <f>+D8/C8*100</f>
        <v>31.666513663756874</v>
      </c>
      <c r="F8" s="53">
        <v>21</v>
      </c>
      <c r="G8" s="42"/>
    </row>
    <row r="9" spans="1:7" hidden="1" x14ac:dyDescent="0.25">
      <c r="A9" s="95" t="s">
        <v>21</v>
      </c>
      <c r="B9" s="47" t="s">
        <v>13</v>
      </c>
      <c r="C9" s="39">
        <v>63845696067</v>
      </c>
      <c r="D9" s="39">
        <v>42966355024</v>
      </c>
      <c r="E9" s="40">
        <f t="shared" ref="E9:E14" si="1">(+D9/C9)*100</f>
        <v>67.297183163154628</v>
      </c>
      <c r="F9" s="41"/>
    </row>
    <row r="10" spans="1:7" hidden="1" x14ac:dyDescent="0.25">
      <c r="A10" s="93"/>
      <c r="B10" s="48" t="s">
        <v>15</v>
      </c>
      <c r="C10" s="28">
        <v>6339302672</v>
      </c>
      <c r="D10" s="28">
        <v>4161554826.6399999</v>
      </c>
      <c r="E10" s="29">
        <f t="shared" si="1"/>
        <v>65.646886447323737</v>
      </c>
      <c r="F10" s="30"/>
    </row>
    <row r="11" spans="1:7" hidden="1" x14ac:dyDescent="0.25">
      <c r="A11" s="93"/>
      <c r="B11" s="48" t="s">
        <v>17</v>
      </c>
      <c r="C11" s="28">
        <v>477000000</v>
      </c>
      <c r="D11" s="28">
        <v>129724252</v>
      </c>
      <c r="E11" s="29">
        <f t="shared" si="1"/>
        <v>27.195859958071278</v>
      </c>
      <c r="F11" s="30"/>
    </row>
    <row r="12" spans="1:7" hidden="1" x14ac:dyDescent="0.25">
      <c r="A12" s="93"/>
      <c r="B12" s="48" t="s">
        <v>18</v>
      </c>
      <c r="C12" s="28">
        <v>74741423</v>
      </c>
      <c r="D12" s="28">
        <v>39182100</v>
      </c>
      <c r="E12" s="29">
        <f t="shared" si="1"/>
        <v>52.423540290368834</v>
      </c>
      <c r="F12" s="30"/>
    </row>
    <row r="13" spans="1:7" hidden="1" x14ac:dyDescent="0.25">
      <c r="A13" s="93"/>
      <c r="B13" s="60" t="s">
        <v>16</v>
      </c>
      <c r="C13" s="36">
        <v>15201172</v>
      </c>
      <c r="D13" s="36">
        <v>14545274</v>
      </c>
      <c r="E13" s="29">
        <f t="shared" si="1"/>
        <v>95.685214271636426</v>
      </c>
      <c r="F13" s="38"/>
    </row>
    <row r="14" spans="1:7" hidden="1" x14ac:dyDescent="0.25">
      <c r="A14" s="93"/>
      <c r="B14" s="48" t="s">
        <v>14</v>
      </c>
      <c r="C14" s="28">
        <v>3525236170</v>
      </c>
      <c r="D14" s="28">
        <v>2331957390</v>
      </c>
      <c r="E14" s="29">
        <f t="shared" si="1"/>
        <v>66.150387592329736</v>
      </c>
      <c r="F14" s="30"/>
    </row>
    <row r="15" spans="1:7" ht="15.75" hidden="1" thickBot="1" x14ac:dyDescent="0.3">
      <c r="A15" s="94"/>
      <c r="B15" s="49" t="s">
        <v>19</v>
      </c>
      <c r="C15" s="43">
        <f>SUM(C9:C14)</f>
        <v>74277177504</v>
      </c>
      <c r="D15" s="43">
        <f>SUM(D9:D14)</f>
        <v>49643318866.639999</v>
      </c>
      <c r="E15" s="44">
        <f>+D15/C15*100</f>
        <v>66.83522521297553</v>
      </c>
      <c r="F15" s="50">
        <v>47</v>
      </c>
    </row>
    <row r="16" spans="1:7" hidden="1" x14ac:dyDescent="0.25">
      <c r="A16" s="95" t="s">
        <v>22</v>
      </c>
      <c r="B16" s="47" t="s">
        <v>13</v>
      </c>
      <c r="C16" s="39">
        <f>4440983461+75823055515+969457091</f>
        <v>81233496067</v>
      </c>
      <c r="D16" s="39">
        <f>3445853944+819207780.74+64753260402</f>
        <v>69018322126.740005</v>
      </c>
      <c r="E16" s="40">
        <f t="shared" ref="E16:E21" si="2">(+D16/C16)*100</f>
        <v>84.962885346969273</v>
      </c>
      <c r="F16" s="41"/>
    </row>
    <row r="17" spans="1:6" hidden="1" x14ac:dyDescent="0.25">
      <c r="A17" s="93"/>
      <c r="B17" s="48" t="s">
        <v>15</v>
      </c>
      <c r="C17" s="28">
        <f>629216990+5522359960+187725722</f>
        <v>6339302672</v>
      </c>
      <c r="D17" s="28">
        <f>512912186.33+4451071659.13+84313869.74</f>
        <v>5048297715.1999998</v>
      </c>
      <c r="E17" s="29">
        <f t="shared" si="2"/>
        <v>79.634905862718526</v>
      </c>
      <c r="F17" s="30"/>
    </row>
    <row r="18" spans="1:6" hidden="1" x14ac:dyDescent="0.25">
      <c r="A18" s="93"/>
      <c r="B18" s="48" t="s">
        <v>17</v>
      </c>
      <c r="C18" s="28">
        <f>85000000+450000000</f>
        <v>535000000</v>
      </c>
      <c r="D18" s="28">
        <f>48271718+238188794</f>
        <v>286460512</v>
      </c>
      <c r="E18" s="29">
        <f t="shared" si="2"/>
        <v>53.544020934579436</v>
      </c>
      <c r="F18" s="30"/>
    </row>
    <row r="19" spans="1:6" hidden="1" x14ac:dyDescent="0.25">
      <c r="A19" s="93"/>
      <c r="B19" s="48" t="s">
        <v>18</v>
      </c>
      <c r="C19" s="28">
        <v>74741423</v>
      </c>
      <c r="D19" s="28">
        <v>61737727</v>
      </c>
      <c r="E19" s="29">
        <f t="shared" si="2"/>
        <v>82.601754852861177</v>
      </c>
      <c r="F19" s="30"/>
    </row>
    <row r="20" spans="1:6" hidden="1" x14ac:dyDescent="0.25">
      <c r="A20" s="93"/>
      <c r="B20" s="60" t="s">
        <v>16</v>
      </c>
      <c r="C20" s="36">
        <f>133000+14412274</f>
        <v>14545274</v>
      </c>
      <c r="D20" s="36">
        <f>133000+14412274</f>
        <v>14545274</v>
      </c>
      <c r="E20" s="29">
        <f t="shared" si="2"/>
        <v>100</v>
      </c>
      <c r="F20" s="38"/>
    </row>
    <row r="21" spans="1:6" hidden="1" x14ac:dyDescent="0.25">
      <c r="A21" s="93"/>
      <c r="B21" s="48" t="s">
        <v>14</v>
      </c>
      <c r="C21" s="28">
        <v>1543069511</v>
      </c>
      <c r="D21" s="28">
        <v>588073143.77999997</v>
      </c>
      <c r="E21" s="29">
        <f t="shared" si="2"/>
        <v>38.110606138468377</v>
      </c>
      <c r="F21" s="30"/>
    </row>
    <row r="22" spans="1:6" ht="15.75" hidden="1" thickBot="1" x14ac:dyDescent="0.3">
      <c r="A22" s="94"/>
      <c r="B22" s="49" t="s">
        <v>19</v>
      </c>
      <c r="C22" s="43">
        <f>SUM(C16:C21)</f>
        <v>89740154947</v>
      </c>
      <c r="D22" s="43">
        <f>SUM(D16:D21)</f>
        <v>75017436498.720001</v>
      </c>
      <c r="E22" s="44">
        <f>+D22/C22*100</f>
        <v>83.594057245638638</v>
      </c>
      <c r="F22" s="50">
        <v>70</v>
      </c>
    </row>
    <row r="23" spans="1:6" hidden="1" x14ac:dyDescent="0.25">
      <c r="A23" s="95" t="s">
        <v>23</v>
      </c>
      <c r="B23" s="47" t="s">
        <v>13</v>
      </c>
      <c r="C23" s="39">
        <f>102290033495+910484270+5173654217</f>
        <v>108374171982</v>
      </c>
      <c r="D23" s="39">
        <f>101836396099+891447314+5158502581</f>
        <v>107886345994</v>
      </c>
      <c r="E23" s="40">
        <f t="shared" ref="E23:E28" si="3">(+D23/C23)*100</f>
        <v>99.54986877493188</v>
      </c>
      <c r="F23" s="41"/>
    </row>
    <row r="24" spans="1:6" hidden="1" x14ac:dyDescent="0.25">
      <c r="A24" s="93"/>
      <c r="B24" s="48" t="s">
        <v>15</v>
      </c>
      <c r="C24" s="28">
        <f>5468127363+136962212+629216990</f>
        <v>6234306565</v>
      </c>
      <c r="D24" s="28">
        <f>5420160887.04+128015855.5+617076259</f>
        <v>6165253001.54</v>
      </c>
      <c r="E24" s="29">
        <f t="shared" si="3"/>
        <v>98.892361760846441</v>
      </c>
      <c r="F24" s="30"/>
    </row>
    <row r="25" spans="1:6" hidden="1" x14ac:dyDescent="0.25">
      <c r="A25" s="93"/>
      <c r="B25" s="48" t="s">
        <v>17</v>
      </c>
      <c r="C25" s="28">
        <f>373103000+78364632</f>
        <v>451467632</v>
      </c>
      <c r="D25" s="28">
        <f>302988177+77755732</f>
        <v>380743909</v>
      </c>
      <c r="E25" s="29">
        <f t="shared" si="3"/>
        <v>84.334707964180254</v>
      </c>
      <c r="F25" s="30"/>
    </row>
    <row r="26" spans="1:6" hidden="1" x14ac:dyDescent="0.25">
      <c r="A26" s="93"/>
      <c r="B26" s="48" t="s">
        <v>18</v>
      </c>
      <c r="C26" s="28">
        <v>119275520</v>
      </c>
      <c r="D26" s="28">
        <v>103275520</v>
      </c>
      <c r="E26" s="29">
        <f t="shared" si="3"/>
        <v>86.585679945054949</v>
      </c>
      <c r="F26" s="30"/>
    </row>
    <row r="27" spans="1:6" hidden="1" x14ac:dyDescent="0.25">
      <c r="A27" s="93"/>
      <c r="B27" s="60" t="s">
        <v>16</v>
      </c>
      <c r="C27" s="36">
        <f>13040074+133000</f>
        <v>13173074</v>
      </c>
      <c r="D27" s="36">
        <f>13040074+133000</f>
        <v>13173074</v>
      </c>
      <c r="E27" s="29">
        <f t="shared" si="3"/>
        <v>100</v>
      </c>
      <c r="F27" s="38"/>
    </row>
    <row r="28" spans="1:6" hidden="1" x14ac:dyDescent="0.25">
      <c r="A28" s="93"/>
      <c r="B28" s="48" t="s">
        <v>14</v>
      </c>
      <c r="C28" s="28">
        <v>3691952585</v>
      </c>
      <c r="D28" s="28">
        <v>3691598350</v>
      </c>
      <c r="E28" s="29">
        <f t="shared" si="3"/>
        <v>99.99040521263899</v>
      </c>
      <c r="F28" s="30"/>
    </row>
    <row r="29" spans="1:6" ht="15.75" hidden="1" thickBot="1" x14ac:dyDescent="0.3">
      <c r="A29" s="94"/>
      <c r="B29" s="49" t="s">
        <v>19</v>
      </c>
      <c r="C29" s="43">
        <f>SUM(C23:C28)</f>
        <v>118884347358</v>
      </c>
      <c r="D29" s="43">
        <f>SUM(D23:D28)</f>
        <v>118240389848.53999</v>
      </c>
      <c r="E29" s="44">
        <f>+D29/C29*100</f>
        <v>99.458332805141424</v>
      </c>
      <c r="F29" s="50">
        <v>100</v>
      </c>
    </row>
    <row r="30" spans="1:6" hidden="1" x14ac:dyDescent="0.25">
      <c r="A30" s="95" t="s">
        <v>24</v>
      </c>
      <c r="B30" s="47" t="s">
        <v>13</v>
      </c>
      <c r="C30" s="76">
        <v>86459205855</v>
      </c>
      <c r="D30" s="76">
        <v>19860663317</v>
      </c>
      <c r="E30" s="40">
        <f>(+D30/C30)*100</f>
        <v>22.971137799146742</v>
      </c>
      <c r="F30" s="41"/>
    </row>
    <row r="31" spans="1:6" hidden="1" x14ac:dyDescent="0.25">
      <c r="A31" s="93"/>
      <c r="B31" s="48" t="s">
        <v>15</v>
      </c>
      <c r="C31" s="28">
        <v>6380239143</v>
      </c>
      <c r="D31" s="28">
        <v>3348267643.4300003</v>
      </c>
      <c r="E31" s="29">
        <f t="shared" ref="E31:E42" si="4">(+D31/C31)*100</f>
        <v>52.478716994542609</v>
      </c>
      <c r="F31" s="30"/>
    </row>
    <row r="32" spans="1:6" hidden="1" x14ac:dyDescent="0.25">
      <c r="A32" s="93"/>
      <c r="B32" s="48" t="s">
        <v>17</v>
      </c>
      <c r="C32" s="28">
        <v>501760444</v>
      </c>
      <c r="D32" s="28">
        <v>198109043</v>
      </c>
      <c r="E32" s="29">
        <f t="shared" si="4"/>
        <v>39.482794104032642</v>
      </c>
      <c r="F32" s="30"/>
    </row>
    <row r="33" spans="1:10" hidden="1" x14ac:dyDescent="0.25">
      <c r="A33" s="93"/>
      <c r="B33" s="48" t="s">
        <v>18</v>
      </c>
      <c r="C33" s="28">
        <v>49072680</v>
      </c>
      <c r="D33" s="28">
        <v>47104607</v>
      </c>
      <c r="E33" s="29">
        <f t="shared" ref="E33" si="5">(+D33/C33)*100</f>
        <v>95.989473165109388</v>
      </c>
      <c r="F33" s="30"/>
    </row>
    <row r="34" spans="1:10" hidden="1" x14ac:dyDescent="0.25">
      <c r="A34" s="93"/>
      <c r="B34" s="60" t="s">
        <v>16</v>
      </c>
      <c r="C34" s="28">
        <v>29393084</v>
      </c>
      <c r="D34" s="28">
        <v>27294150</v>
      </c>
      <c r="E34" s="29">
        <f t="shared" si="4"/>
        <v>92.859088893155956</v>
      </c>
      <c r="F34" s="38"/>
    </row>
    <row r="35" spans="1:10" hidden="1" x14ac:dyDescent="0.25">
      <c r="A35" s="93"/>
      <c r="B35" s="51" t="s">
        <v>14</v>
      </c>
      <c r="C35" s="28">
        <v>2756438695</v>
      </c>
      <c r="D35" s="28">
        <v>1219432700</v>
      </c>
      <c r="E35" s="37">
        <f t="shared" si="4"/>
        <v>44.239427570508695</v>
      </c>
      <c r="F35" s="38"/>
    </row>
    <row r="36" spans="1:10" ht="15.75" hidden="1" thickBot="1" x14ac:dyDescent="0.3">
      <c r="A36" s="94"/>
      <c r="B36" s="52" t="s">
        <v>19</v>
      </c>
      <c r="C36" s="45">
        <f>SUM(C30:C35)</f>
        <v>96176109901</v>
      </c>
      <c r="D36" s="45">
        <f>SUM(D30:D35)</f>
        <v>24700871460.43</v>
      </c>
      <c r="E36" s="77">
        <f t="shared" si="4"/>
        <v>25.682959610090418</v>
      </c>
      <c r="F36" s="53">
        <v>21</v>
      </c>
    </row>
    <row r="37" spans="1:10" hidden="1" x14ac:dyDescent="0.25">
      <c r="A37" s="95" t="s">
        <v>25</v>
      </c>
      <c r="B37" s="47" t="s">
        <v>13</v>
      </c>
      <c r="C37" s="73">
        <v>86657396402</v>
      </c>
      <c r="D37" s="73">
        <v>48600525412</v>
      </c>
      <c r="E37" s="40">
        <f t="shared" si="4"/>
        <v>56.083528273275384</v>
      </c>
      <c r="F37" s="41"/>
    </row>
    <row r="38" spans="1:10" hidden="1" x14ac:dyDescent="0.25">
      <c r="A38" s="93"/>
      <c r="B38" s="48" t="s">
        <v>15</v>
      </c>
      <c r="C38" s="73">
        <v>6355271943</v>
      </c>
      <c r="D38" s="73">
        <v>3957866629.5900002</v>
      </c>
      <c r="E38" s="29">
        <f t="shared" si="4"/>
        <v>62.276904357324682</v>
      </c>
      <c r="F38" s="30"/>
    </row>
    <row r="39" spans="1:10" hidden="1" x14ac:dyDescent="0.25">
      <c r="A39" s="93"/>
      <c r="B39" s="48" t="s">
        <v>17</v>
      </c>
      <c r="C39" s="73">
        <v>501760444</v>
      </c>
      <c r="D39" s="73">
        <v>297552725</v>
      </c>
      <c r="E39" s="29">
        <f t="shared" si="4"/>
        <v>59.301750179414306</v>
      </c>
      <c r="F39" s="30"/>
    </row>
    <row r="40" spans="1:10" hidden="1" x14ac:dyDescent="0.25">
      <c r="A40" s="93"/>
      <c r="B40" s="48" t="s">
        <v>18</v>
      </c>
      <c r="C40" s="73">
        <v>66103707</v>
      </c>
      <c r="D40" s="73">
        <v>66103707</v>
      </c>
      <c r="E40" s="29">
        <f t="shared" si="4"/>
        <v>100</v>
      </c>
      <c r="F40" s="30"/>
    </row>
    <row r="41" spans="1:10" hidden="1" x14ac:dyDescent="0.25">
      <c r="A41" s="93"/>
      <c r="B41" s="60" t="s">
        <v>16</v>
      </c>
      <c r="C41" s="73">
        <v>30036996</v>
      </c>
      <c r="D41" s="73">
        <v>28444393</v>
      </c>
      <c r="E41" s="29">
        <f t="shared" si="4"/>
        <v>94.697861930001253</v>
      </c>
      <c r="F41" s="38"/>
    </row>
    <row r="42" spans="1:10" hidden="1" x14ac:dyDescent="0.25">
      <c r="A42" s="93"/>
      <c r="B42" s="48" t="s">
        <v>14</v>
      </c>
      <c r="C42" s="73">
        <v>2756438695</v>
      </c>
      <c r="D42" s="73">
        <v>2209580476.8199997</v>
      </c>
      <c r="E42" s="29">
        <f t="shared" si="4"/>
        <v>80.160697236910607</v>
      </c>
      <c r="F42" s="30"/>
    </row>
    <row r="43" spans="1:10" ht="15.75" hidden="1" thickBot="1" x14ac:dyDescent="0.3">
      <c r="A43" s="94"/>
      <c r="B43" s="49" t="s">
        <v>19</v>
      </c>
      <c r="C43" s="43">
        <f>SUM(C37:C42)</f>
        <v>96367008187</v>
      </c>
      <c r="D43" s="43">
        <f>SUM(D37:D42)</f>
        <v>55160073343.409996</v>
      </c>
      <c r="E43" s="44">
        <f>+D43/C43*100</f>
        <v>57.239582696571809</v>
      </c>
      <c r="F43" s="50">
        <v>47</v>
      </c>
      <c r="G43" s="61"/>
    </row>
    <row r="44" spans="1:10" hidden="1" x14ac:dyDescent="0.25">
      <c r="A44" s="95" t="s">
        <v>26</v>
      </c>
      <c r="B44" s="47" t="s">
        <v>13</v>
      </c>
      <c r="C44" s="76">
        <v>96057966571</v>
      </c>
      <c r="D44" s="76">
        <v>76485199774</v>
      </c>
      <c r="E44" s="40">
        <f t="shared" ref="E44:E49" si="6">(+D44/C44)*100</f>
        <v>79.624004655008974</v>
      </c>
      <c r="F44" s="41"/>
      <c r="G44" s="63"/>
      <c r="H44" s="63"/>
      <c r="I44" s="61"/>
      <c r="J44" s="42"/>
    </row>
    <row r="45" spans="1:10" hidden="1" x14ac:dyDescent="0.25">
      <c r="A45" s="93"/>
      <c r="B45" s="48" t="s">
        <v>15</v>
      </c>
      <c r="C45" s="28">
        <v>7203051780</v>
      </c>
      <c r="D45" s="28">
        <v>5648928032.54</v>
      </c>
      <c r="E45" s="29">
        <f t="shared" si="6"/>
        <v>78.424093079891747</v>
      </c>
      <c r="F45" s="30"/>
      <c r="G45" s="63"/>
      <c r="H45" s="63"/>
      <c r="I45" s="61"/>
      <c r="J45" s="42"/>
    </row>
    <row r="46" spans="1:10" hidden="1" x14ac:dyDescent="0.25">
      <c r="A46" s="93"/>
      <c r="B46" s="48" t="s">
        <v>17</v>
      </c>
      <c r="C46" s="28">
        <v>627760444</v>
      </c>
      <c r="D46" s="28">
        <v>423366550</v>
      </c>
      <c r="E46" s="29">
        <f t="shared" si="6"/>
        <v>67.440781598529639</v>
      </c>
      <c r="F46" s="30"/>
      <c r="G46" s="63"/>
      <c r="H46" s="63"/>
      <c r="I46" s="61"/>
      <c r="J46" s="42"/>
    </row>
    <row r="47" spans="1:10" hidden="1" x14ac:dyDescent="0.25">
      <c r="A47" s="93"/>
      <c r="B47" s="48" t="s">
        <v>18</v>
      </c>
      <c r="C47" s="28">
        <v>128632111</v>
      </c>
      <c r="D47" s="28">
        <v>128632111</v>
      </c>
      <c r="E47" s="29">
        <f t="shared" si="6"/>
        <v>100</v>
      </c>
      <c r="F47" s="30"/>
      <c r="G47" s="63"/>
      <c r="H47" s="63"/>
      <c r="I47" s="61"/>
      <c r="J47" s="42"/>
    </row>
    <row r="48" spans="1:10" hidden="1" x14ac:dyDescent="0.25">
      <c r="A48" s="93"/>
      <c r="B48" s="60" t="s">
        <v>16</v>
      </c>
      <c r="C48" s="28">
        <v>28444393</v>
      </c>
      <c r="D48" s="28">
        <v>28444393</v>
      </c>
      <c r="E48" s="29">
        <f t="shared" si="6"/>
        <v>100</v>
      </c>
      <c r="F48" s="38"/>
      <c r="G48" s="63"/>
      <c r="H48" s="63"/>
      <c r="I48" s="61"/>
      <c r="J48" s="42"/>
    </row>
    <row r="49" spans="1:10" hidden="1" x14ac:dyDescent="0.25">
      <c r="A49" s="93"/>
      <c r="B49" s="48" t="s">
        <v>14</v>
      </c>
      <c r="C49" s="28">
        <v>2776747375</v>
      </c>
      <c r="D49" s="28">
        <v>2662059536.8699999</v>
      </c>
      <c r="E49" s="29">
        <f t="shared" si="6"/>
        <v>95.869705715306566</v>
      </c>
      <c r="F49" s="30"/>
      <c r="G49" s="63"/>
      <c r="H49" s="63"/>
      <c r="I49" s="61"/>
      <c r="J49" s="42"/>
    </row>
    <row r="50" spans="1:10" ht="15.75" hidden="1" thickBot="1" x14ac:dyDescent="0.3">
      <c r="A50" s="94"/>
      <c r="B50" s="49" t="s">
        <v>19</v>
      </c>
      <c r="C50" s="43">
        <f>SUM(C44:C49)</f>
        <v>106822602674</v>
      </c>
      <c r="D50" s="43">
        <f>SUM(D44:D49)</f>
        <v>85376630397.409988</v>
      </c>
      <c r="E50" s="44">
        <f>+D50/C50*100</f>
        <v>79.923750461277763</v>
      </c>
      <c r="F50" s="50">
        <v>70</v>
      </c>
      <c r="G50" s="64"/>
      <c r="H50" s="64"/>
    </row>
    <row r="51" spans="1:10" hidden="1" x14ac:dyDescent="0.25">
      <c r="A51" s="95" t="s">
        <v>27</v>
      </c>
      <c r="B51" s="47" t="s">
        <v>13</v>
      </c>
      <c r="C51" s="76">
        <v>119478897424</v>
      </c>
      <c r="D51" s="39">
        <v>118519735089</v>
      </c>
      <c r="E51" s="40">
        <f t="shared" ref="E51:E56" si="7">(+D51/C51)*100</f>
        <v>99.197211929738373</v>
      </c>
      <c r="F51" s="41"/>
      <c r="H51" s="64"/>
    </row>
    <row r="52" spans="1:10" hidden="1" x14ac:dyDescent="0.25">
      <c r="A52" s="93"/>
      <c r="B52" s="48" t="s">
        <v>15</v>
      </c>
      <c r="C52" s="28">
        <v>7117176077</v>
      </c>
      <c r="D52" s="28">
        <v>7024614570.1300001</v>
      </c>
      <c r="E52" s="29">
        <f t="shared" si="7"/>
        <v>98.699463019200508</v>
      </c>
      <c r="F52" s="30"/>
    </row>
    <row r="53" spans="1:10" hidden="1" x14ac:dyDescent="0.25">
      <c r="A53" s="93"/>
      <c r="B53" s="48" t="s">
        <v>17</v>
      </c>
      <c r="C53" s="28">
        <v>488770229</v>
      </c>
      <c r="D53" s="28">
        <v>430895212.47000003</v>
      </c>
      <c r="E53" s="29">
        <f t="shared" si="7"/>
        <v>88.159054480791639</v>
      </c>
      <c r="F53" s="30"/>
    </row>
    <row r="54" spans="1:10" hidden="1" x14ac:dyDescent="0.25">
      <c r="A54" s="93"/>
      <c r="B54" s="48" t="s">
        <v>18</v>
      </c>
      <c r="C54" s="28">
        <v>241522128</v>
      </c>
      <c r="D54" s="28">
        <v>241522128</v>
      </c>
      <c r="E54" s="29">
        <f t="shared" si="7"/>
        <v>100</v>
      </c>
      <c r="F54" s="30"/>
    </row>
    <row r="55" spans="1:10" hidden="1" x14ac:dyDescent="0.25">
      <c r="A55" s="93"/>
      <c r="B55" s="60" t="s">
        <v>16</v>
      </c>
      <c r="C55" s="28">
        <v>28444393</v>
      </c>
      <c r="D55" s="28">
        <v>28444393</v>
      </c>
      <c r="E55" s="29">
        <f t="shared" si="7"/>
        <v>100</v>
      </c>
      <c r="F55" s="38"/>
    </row>
    <row r="56" spans="1:10" hidden="1" x14ac:dyDescent="0.25">
      <c r="A56" s="93"/>
      <c r="B56" s="48" t="s">
        <v>14</v>
      </c>
      <c r="C56" s="28">
        <v>2696747375</v>
      </c>
      <c r="D56" s="28">
        <v>2639047933.96</v>
      </c>
      <c r="E56" s="29">
        <f t="shared" si="7"/>
        <v>97.860406147980399</v>
      </c>
      <c r="F56" s="30"/>
    </row>
    <row r="57" spans="1:10" ht="15.75" hidden="1" thickBot="1" x14ac:dyDescent="0.3">
      <c r="A57" s="94"/>
      <c r="B57" s="49" t="s">
        <v>19</v>
      </c>
      <c r="C57" s="43">
        <f>SUM(C51:C56)</f>
        <v>130051557626</v>
      </c>
      <c r="D57" s="43">
        <f>SUM(D51:D56)</f>
        <v>128884259326.56001</v>
      </c>
      <c r="E57" s="44">
        <f>+D57/C57*100</f>
        <v>99.102434203212781</v>
      </c>
      <c r="F57" s="50">
        <v>100</v>
      </c>
    </row>
    <row r="58" spans="1:10" hidden="1" x14ac:dyDescent="0.25">
      <c r="A58" s="95" t="s">
        <v>44</v>
      </c>
      <c r="B58" s="47" t="s">
        <v>13</v>
      </c>
      <c r="C58" s="76">
        <f>+'Ejecución por Gasto2024'!C2</f>
        <v>107285929476</v>
      </c>
      <c r="D58" s="76">
        <f>+'Ejecución por Gasto2024'!D2</f>
        <v>29659503951</v>
      </c>
      <c r="E58" s="40">
        <f>(+D58/C58)*100</f>
        <v>27.645287779917933</v>
      </c>
      <c r="F58" s="41"/>
    </row>
    <row r="59" spans="1:10" hidden="1" x14ac:dyDescent="0.25">
      <c r="A59" s="93"/>
      <c r="B59" s="48" t="s">
        <v>15</v>
      </c>
      <c r="C59" s="28">
        <f>+'Ejecución por Gasto2024'!C3</f>
        <v>10118989498</v>
      </c>
      <c r="D59" s="28">
        <f>+'Ejecución por Gasto2024'!D3</f>
        <v>6547297403.1700001</v>
      </c>
      <c r="E59" s="29">
        <f t="shared" ref="E59:E64" si="8">(+D59/C59)*100</f>
        <v>64.703075385779002</v>
      </c>
      <c r="F59" s="30"/>
    </row>
    <row r="60" spans="1:10" hidden="1" x14ac:dyDescent="0.25">
      <c r="A60" s="93"/>
      <c r="B60" s="48" t="s">
        <v>17</v>
      </c>
      <c r="C60" s="28">
        <f>+'Ejecución por Gasto2024'!C4</f>
        <v>373416603</v>
      </c>
      <c r="D60" s="28">
        <f>+'Ejecución por Gasto2024'!D4</f>
        <v>183057709</v>
      </c>
      <c r="E60" s="29">
        <f t="shared" si="8"/>
        <v>49.022380775072286</v>
      </c>
      <c r="F60" s="30"/>
    </row>
    <row r="61" spans="1:10" hidden="1" x14ac:dyDescent="0.25">
      <c r="A61" s="93"/>
      <c r="B61" s="48" t="s">
        <v>18</v>
      </c>
      <c r="C61" s="28">
        <f>+'Ejecución por Gasto2024'!C5</f>
        <v>69962173</v>
      </c>
      <c r="D61" s="28">
        <f>+'Ejecución por Gasto2024'!D5</f>
        <v>69962173</v>
      </c>
      <c r="E61" s="29">
        <f t="shared" si="8"/>
        <v>100</v>
      </c>
      <c r="F61" s="30"/>
    </row>
    <row r="62" spans="1:10" hidden="1" x14ac:dyDescent="0.25">
      <c r="A62" s="93"/>
      <c r="B62" s="60" t="s">
        <v>16</v>
      </c>
      <c r="C62" s="28">
        <f>+'Ejecución por Gasto2024'!C6</f>
        <v>21755000</v>
      </c>
      <c r="D62" s="28">
        <f>+'Ejecución por Gasto2024'!D6</f>
        <v>14761944</v>
      </c>
      <c r="E62" s="29">
        <f t="shared" si="8"/>
        <v>67.855407952194895</v>
      </c>
      <c r="F62" s="38"/>
    </row>
    <row r="63" spans="1:10" hidden="1" x14ac:dyDescent="0.25">
      <c r="A63" s="93"/>
      <c r="B63" s="51" t="s">
        <v>14</v>
      </c>
      <c r="C63" s="82">
        <f>+'Ejecución por Gasto2024'!C7</f>
        <v>6614640431</v>
      </c>
      <c r="D63" s="82">
        <f>+'Ejecución por Gasto2024'!D7</f>
        <v>126599975.13</v>
      </c>
      <c r="E63" s="37">
        <f t="shared" si="8"/>
        <v>1.9139358586549902</v>
      </c>
      <c r="F63" s="38"/>
    </row>
    <row r="64" spans="1:10" ht="15.75" hidden="1" thickBot="1" x14ac:dyDescent="0.3">
      <c r="A64" s="94"/>
      <c r="B64" s="52" t="s">
        <v>19</v>
      </c>
      <c r="C64" s="45">
        <f>SUM(C58:C63)</f>
        <v>124484693181</v>
      </c>
      <c r="D64" s="45">
        <f>SUM(D58:D63)</f>
        <v>36601183155.299995</v>
      </c>
      <c r="E64" s="81">
        <f t="shared" si="8"/>
        <v>29.402155574325988</v>
      </c>
      <c r="F64" s="53">
        <v>21</v>
      </c>
    </row>
    <row r="65" spans="1:6" hidden="1" x14ac:dyDescent="0.25">
      <c r="A65" s="95" t="s">
        <v>45</v>
      </c>
      <c r="B65" s="47" t="s">
        <v>13</v>
      </c>
      <c r="C65" s="76">
        <f>+'Ejecución por Gasto2024'!C9</f>
        <v>118305393687</v>
      </c>
      <c r="D65" s="76">
        <f>+'Ejecución por Gasto2024'!D9</f>
        <v>75137841052</v>
      </c>
      <c r="E65" s="40">
        <f>(+D65/C65)*100</f>
        <v>63.511762828660046</v>
      </c>
      <c r="F65" s="41"/>
    </row>
    <row r="66" spans="1:6" hidden="1" x14ac:dyDescent="0.25">
      <c r="A66" s="93"/>
      <c r="B66" s="48" t="s">
        <v>15</v>
      </c>
      <c r="C66" s="28">
        <f>+'Ejecución por Gasto2024'!C10</f>
        <v>12433067903</v>
      </c>
      <c r="D66" s="28">
        <f>+'Ejecución por Gasto2024'!D10</f>
        <v>7755912719.1700001</v>
      </c>
      <c r="E66" s="29">
        <f t="shared" ref="E66:E77" si="9">(+D66/C66)*100</f>
        <v>62.381326794640614</v>
      </c>
      <c r="F66" s="30"/>
    </row>
    <row r="67" spans="1:6" hidden="1" x14ac:dyDescent="0.25">
      <c r="A67" s="93"/>
      <c r="B67" s="48" t="s">
        <v>17</v>
      </c>
      <c r="C67" s="28">
        <f>+'Ejecución por Gasto2024'!C11</f>
        <v>989416603</v>
      </c>
      <c r="D67" s="28">
        <f>+'Ejecución por Gasto2024'!D11</f>
        <v>207561127</v>
      </c>
      <c r="E67" s="29">
        <f t="shared" si="9"/>
        <v>20.978132605684603</v>
      </c>
      <c r="F67" s="30"/>
    </row>
    <row r="68" spans="1:6" hidden="1" x14ac:dyDescent="0.25">
      <c r="A68" s="93"/>
      <c r="B68" s="48" t="s">
        <v>18</v>
      </c>
      <c r="C68" s="28">
        <f>+'Ejecución por Gasto2024'!C12</f>
        <v>116373675</v>
      </c>
      <c r="D68" s="28">
        <f>+'Ejecución por Gasto2024'!D12</f>
        <v>116373675</v>
      </c>
      <c r="E68" s="29">
        <f t="shared" si="9"/>
        <v>100</v>
      </c>
      <c r="F68" s="30"/>
    </row>
    <row r="69" spans="1:6" hidden="1" x14ac:dyDescent="0.25">
      <c r="A69" s="93"/>
      <c r="B69" s="60" t="s">
        <v>16</v>
      </c>
      <c r="C69" s="28">
        <f>+'Ejecución por Gasto2024'!C13</f>
        <v>21755000</v>
      </c>
      <c r="D69" s="28">
        <f>+'Ejecución por Gasto2024'!D13</f>
        <v>14761944</v>
      </c>
      <c r="E69" s="29">
        <f t="shared" si="9"/>
        <v>67.855407952194895</v>
      </c>
      <c r="F69" s="38"/>
    </row>
    <row r="70" spans="1:6" hidden="1" x14ac:dyDescent="0.25">
      <c r="A70" s="93"/>
      <c r="B70" s="51" t="s">
        <v>14</v>
      </c>
      <c r="C70" s="28">
        <f>+'Ejecución por Gasto2024'!C14</f>
        <v>7884050116</v>
      </c>
      <c r="D70" s="28">
        <f>+'Ejecución por Gasto2024'!D14</f>
        <v>629537156</v>
      </c>
      <c r="E70" s="37">
        <f t="shared" si="9"/>
        <v>7.9849461474427796</v>
      </c>
      <c r="F70" s="38"/>
    </row>
    <row r="71" spans="1:6" ht="15.75" hidden="1" thickBot="1" x14ac:dyDescent="0.3">
      <c r="A71" s="94"/>
      <c r="B71" s="52" t="s">
        <v>19</v>
      </c>
      <c r="C71" s="45">
        <f>SUM(C65:C70)</f>
        <v>139750056984</v>
      </c>
      <c r="D71" s="45">
        <f>SUM(D65:D70)</f>
        <v>83861987673.169998</v>
      </c>
      <c r="E71" s="81">
        <f t="shared" si="9"/>
        <v>60.008553472555192</v>
      </c>
      <c r="F71" s="53">
        <v>47</v>
      </c>
    </row>
    <row r="72" spans="1:6" hidden="1" x14ac:dyDescent="0.25">
      <c r="A72" s="95" t="s">
        <v>46</v>
      </c>
      <c r="B72" s="47" t="s">
        <v>13</v>
      </c>
      <c r="C72" s="76">
        <f>+'Ejecución por Gasto2024'!C16</f>
        <v>146286511123</v>
      </c>
      <c r="D72" s="76">
        <f>+'Ejecución por Gasto2024'!D16</f>
        <v>121739709465</v>
      </c>
      <c r="E72" s="40">
        <f t="shared" si="9"/>
        <v>83.220051206662077</v>
      </c>
      <c r="F72" s="41"/>
    </row>
    <row r="73" spans="1:6" hidden="1" x14ac:dyDescent="0.25">
      <c r="A73" s="93"/>
      <c r="B73" s="48" t="s">
        <v>15</v>
      </c>
      <c r="C73" s="28">
        <f>+'Ejecución por Gasto2024'!C17</f>
        <v>12804805903</v>
      </c>
      <c r="D73" s="28">
        <f>+'Ejecución por Gasto2024'!D17</f>
        <v>8819221593.1700001</v>
      </c>
      <c r="E73" s="29">
        <f t="shared" si="9"/>
        <v>68.874309067845928</v>
      </c>
      <c r="F73" s="30"/>
    </row>
    <row r="74" spans="1:6" hidden="1" x14ac:dyDescent="0.25">
      <c r="A74" s="93"/>
      <c r="B74" s="48" t="s">
        <v>17</v>
      </c>
      <c r="C74" s="28">
        <f>+'Ejecución por Gasto2024'!C18</f>
        <v>972416603</v>
      </c>
      <c r="D74" s="28">
        <f>+'Ejecución por Gasto2024'!D18</f>
        <v>382604878</v>
      </c>
      <c r="E74" s="29">
        <f t="shared" si="9"/>
        <v>39.34577801526904</v>
      </c>
      <c r="F74" s="30"/>
    </row>
    <row r="75" spans="1:6" hidden="1" x14ac:dyDescent="0.25">
      <c r="A75" s="93"/>
      <c r="B75" s="48" t="s">
        <v>18</v>
      </c>
      <c r="C75" s="28">
        <f>+'Ejecución por Gasto2024'!C19</f>
        <v>216373675</v>
      </c>
      <c r="D75" s="28">
        <f>+'Ejecución por Gasto2024'!D19</f>
        <v>216373675</v>
      </c>
      <c r="E75" s="29">
        <f t="shared" si="9"/>
        <v>100</v>
      </c>
      <c r="F75" s="30"/>
    </row>
    <row r="76" spans="1:6" hidden="1" x14ac:dyDescent="0.25">
      <c r="A76" s="93"/>
      <c r="B76" s="60" t="s">
        <v>16</v>
      </c>
      <c r="C76" s="28">
        <f>+'Ejecución por Gasto2024'!C20</f>
        <v>21710540</v>
      </c>
      <c r="D76" s="28">
        <f>+'Ejecución por Gasto2024'!D20</f>
        <v>14761944</v>
      </c>
      <c r="E76" s="29">
        <f t="shared" si="9"/>
        <v>67.994365870217877</v>
      </c>
      <c r="F76" s="38"/>
    </row>
    <row r="77" spans="1:6" hidden="1" x14ac:dyDescent="0.25">
      <c r="A77" s="93"/>
      <c r="B77" s="48" t="s">
        <v>14</v>
      </c>
      <c r="C77" s="28">
        <f>+'Ejecución por Gasto2024'!C21</f>
        <v>7776281986</v>
      </c>
      <c r="D77" s="28">
        <f>+'Ejecución por Gasto2024'!D21</f>
        <v>7036985884.6800003</v>
      </c>
      <c r="E77" s="29">
        <f t="shared" si="9"/>
        <v>90.492936050274551</v>
      </c>
      <c r="F77" s="30"/>
    </row>
    <row r="78" spans="1:6" ht="15.75" hidden="1" thickBot="1" x14ac:dyDescent="0.3">
      <c r="A78" s="94"/>
      <c r="B78" s="49" t="s">
        <v>19</v>
      </c>
      <c r="C78" s="43">
        <f>SUM(C72:C77)</f>
        <v>168078099830</v>
      </c>
      <c r="D78" s="43">
        <f>SUM(D72:D77)</f>
        <v>138209657439.85001</v>
      </c>
      <c r="E78" s="44">
        <f>+D78/C78*100</f>
        <v>82.22942642714311</v>
      </c>
      <c r="F78" s="50">
        <v>70</v>
      </c>
    </row>
    <row r="79" spans="1:6" hidden="1" x14ac:dyDescent="0.25">
      <c r="A79" s="95" t="s">
        <v>47</v>
      </c>
      <c r="B79" s="47" t="s">
        <v>13</v>
      </c>
      <c r="C79" s="76">
        <f>+'Ejecución por Gasto2024'!C23</f>
        <v>192299767385</v>
      </c>
      <c r="D79" s="76">
        <f>+'Ejecución por Gasto2024'!D23</f>
        <v>191364952927</v>
      </c>
      <c r="E79" s="40">
        <f t="shared" ref="E79:E84" si="10">(+D79/C79)*100</f>
        <v>99.513876448883877</v>
      </c>
      <c r="F79" s="41"/>
    </row>
    <row r="80" spans="1:6" hidden="1" x14ac:dyDescent="0.25">
      <c r="A80" s="93"/>
      <c r="B80" s="48" t="s">
        <v>15</v>
      </c>
      <c r="C80" s="28">
        <f>+'Ejecución por Gasto2024'!C24</f>
        <v>12207204662</v>
      </c>
      <c r="D80" s="28">
        <f>+'Ejecución por Gasto2024'!D24</f>
        <v>12142212129.609999</v>
      </c>
      <c r="E80" s="29">
        <f t="shared" si="10"/>
        <v>99.467588738048136</v>
      </c>
      <c r="F80" s="30"/>
    </row>
    <row r="81" spans="1:6" hidden="1" x14ac:dyDescent="0.25">
      <c r="A81" s="93"/>
      <c r="B81" s="48" t="s">
        <v>17</v>
      </c>
      <c r="C81" s="28">
        <f>+'Ejecución por Gasto2024'!C25</f>
        <v>431206141</v>
      </c>
      <c r="D81" s="28">
        <f>+'Ejecución por Gasto2024'!D25</f>
        <v>407311743</v>
      </c>
      <c r="E81" s="29">
        <f t="shared" si="10"/>
        <v>94.45870646819013</v>
      </c>
      <c r="F81" s="30"/>
    </row>
    <row r="82" spans="1:6" hidden="1" x14ac:dyDescent="0.25">
      <c r="A82" s="93"/>
      <c r="B82" s="48" t="s">
        <v>18</v>
      </c>
      <c r="C82" s="28">
        <f>+'Ejecución por Gasto2024'!C26</f>
        <v>216373675</v>
      </c>
      <c r="D82" s="28">
        <f>+'Ejecución por Gasto2024'!D26</f>
        <v>216373675</v>
      </c>
      <c r="E82" s="29">
        <f t="shared" si="10"/>
        <v>100</v>
      </c>
      <c r="F82" s="30"/>
    </row>
    <row r="83" spans="1:6" hidden="1" x14ac:dyDescent="0.25">
      <c r="A83" s="93"/>
      <c r="B83" s="60" t="s">
        <v>16</v>
      </c>
      <c r="C83" s="28">
        <f>+'Ejecución por Gasto2024'!C27</f>
        <v>14761944</v>
      </c>
      <c r="D83" s="28">
        <f>+'Ejecución por Gasto2024'!D27</f>
        <v>14761944</v>
      </c>
      <c r="E83" s="29">
        <f t="shared" si="10"/>
        <v>100</v>
      </c>
      <c r="F83" s="38"/>
    </row>
    <row r="84" spans="1:6" hidden="1" x14ac:dyDescent="0.25">
      <c r="A84" s="93"/>
      <c r="B84" s="48" t="s">
        <v>14</v>
      </c>
      <c r="C84" s="28">
        <f>+'Ejecución por Gasto2024'!C28</f>
        <v>8034630355</v>
      </c>
      <c r="D84" s="28">
        <f>+'Ejecución por Gasto2024'!D28</f>
        <v>8034501977.6599998</v>
      </c>
      <c r="E84" s="29">
        <f t="shared" si="10"/>
        <v>99.99840219979852</v>
      </c>
      <c r="F84" s="30"/>
    </row>
    <row r="85" spans="1:6" ht="15.75" hidden="1" thickBot="1" x14ac:dyDescent="0.3">
      <c r="A85" s="93"/>
      <c r="B85" s="87" t="s">
        <v>19</v>
      </c>
      <c r="C85" s="86">
        <f>SUM(C79:C84)</f>
        <v>213203944162</v>
      </c>
      <c r="D85" s="86">
        <f>SUM(D79:D84)</f>
        <v>212180114396.26999</v>
      </c>
      <c r="E85" s="88">
        <f>+D85/C85*100</f>
        <v>99.519788543427666</v>
      </c>
      <c r="F85" s="89">
        <v>100</v>
      </c>
    </row>
    <row r="86" spans="1:6" x14ac:dyDescent="0.25">
      <c r="A86" s="95" t="s">
        <v>48</v>
      </c>
      <c r="B86" s="47" t="s">
        <v>13</v>
      </c>
      <c r="C86" s="39">
        <f>+'Ejecución por Gasto2024'!C2</f>
        <v>107285929476</v>
      </c>
      <c r="D86" s="39">
        <f>+'Ejecución por Gasto2024'!D2</f>
        <v>29659503951</v>
      </c>
      <c r="E86" s="40">
        <f>(+D86/C86)*100</f>
        <v>27.645287779917933</v>
      </c>
      <c r="F86" s="41"/>
    </row>
    <row r="87" spans="1:6" x14ac:dyDescent="0.25">
      <c r="A87" s="93"/>
      <c r="B87" s="48" t="s">
        <v>15</v>
      </c>
      <c r="C87" s="28">
        <f>+'Ejecución por Gasto2024'!C3</f>
        <v>10118989498</v>
      </c>
      <c r="D87" s="28">
        <f>+'Ejecución por Gasto2024'!D3</f>
        <v>6547297403.1700001</v>
      </c>
      <c r="E87" s="29">
        <f t="shared" ref="E87:E92" si="11">(+D87/C87)*100</f>
        <v>64.703075385779002</v>
      </c>
      <c r="F87" s="30"/>
    </row>
    <row r="88" spans="1:6" x14ac:dyDescent="0.25">
      <c r="A88" s="93"/>
      <c r="B88" s="48" t="s">
        <v>17</v>
      </c>
      <c r="C88" s="28">
        <f>+'Ejecución por Gasto2024'!C4</f>
        <v>373416603</v>
      </c>
      <c r="D88" s="28">
        <f>+'Ejecución por Gasto2024'!D4</f>
        <v>183057709</v>
      </c>
      <c r="E88" s="29">
        <f t="shared" si="11"/>
        <v>49.022380775072286</v>
      </c>
      <c r="F88" s="30"/>
    </row>
    <row r="89" spans="1:6" x14ac:dyDescent="0.25">
      <c r="A89" s="93"/>
      <c r="B89" s="48" t="s">
        <v>18</v>
      </c>
      <c r="C89" s="28">
        <f>+'Ejecución por Gasto2024'!C5</f>
        <v>69962173</v>
      </c>
      <c r="D89" s="28">
        <f>+'Ejecución por Gasto2024'!D5</f>
        <v>69962173</v>
      </c>
      <c r="E89" s="29">
        <f t="shared" si="11"/>
        <v>100</v>
      </c>
      <c r="F89" s="30"/>
    </row>
    <row r="90" spans="1:6" x14ac:dyDescent="0.25">
      <c r="A90" s="93"/>
      <c r="B90" s="60" t="s">
        <v>16</v>
      </c>
      <c r="C90" s="28">
        <f>+'Ejecución por Gasto2024'!C6</f>
        <v>21755000</v>
      </c>
      <c r="D90" s="28">
        <f>+'Ejecución por Gasto2024'!D6</f>
        <v>14761944</v>
      </c>
      <c r="E90" s="29">
        <f t="shared" si="11"/>
        <v>67.855407952194895</v>
      </c>
      <c r="F90" s="38"/>
    </row>
    <row r="91" spans="1:6" x14ac:dyDescent="0.25">
      <c r="A91" s="93"/>
      <c r="B91" s="51" t="s">
        <v>14</v>
      </c>
      <c r="C91" s="28">
        <f>+'Ejecución por Gasto2024'!C7</f>
        <v>6614640431</v>
      </c>
      <c r="D91" s="28">
        <f>+'Ejecución por Gasto2024'!D7</f>
        <v>126599975.13</v>
      </c>
      <c r="E91" s="37">
        <f t="shared" si="11"/>
        <v>1.9139358586549902</v>
      </c>
      <c r="F91" s="38"/>
    </row>
    <row r="92" spans="1:6" ht="15.75" thickBot="1" x14ac:dyDescent="0.3">
      <c r="A92" s="94"/>
      <c r="B92" s="52" t="s">
        <v>19</v>
      </c>
      <c r="C92" s="45">
        <f>SUM(C86:C91)</f>
        <v>124484693181</v>
      </c>
      <c r="D92" s="45">
        <f>SUM(D86:D91)</f>
        <v>36601183155.299995</v>
      </c>
      <c r="E92" s="81">
        <f t="shared" si="11"/>
        <v>29.402155574325988</v>
      </c>
      <c r="F92" s="53">
        <v>21</v>
      </c>
    </row>
    <row r="93" spans="1:6" x14ac:dyDescent="0.25">
      <c r="A93" s="93" t="s">
        <v>49</v>
      </c>
      <c r="B93" s="90" t="s">
        <v>13</v>
      </c>
      <c r="C93" s="73">
        <f>+'Ejecución por Gasto2024'!C9</f>
        <v>118305393687</v>
      </c>
      <c r="D93" s="82">
        <f>+'Ejecución por Gasto2024'!D9</f>
        <v>75137841052</v>
      </c>
      <c r="E93" s="91">
        <f>(+D93/C93)*100</f>
        <v>63.511762828660046</v>
      </c>
      <c r="F93" s="92"/>
    </row>
    <row r="94" spans="1:6" x14ac:dyDescent="0.25">
      <c r="A94" s="93"/>
      <c r="B94" s="48" t="s">
        <v>15</v>
      </c>
      <c r="C94" s="28">
        <f>+'Ejecución por Gasto2024'!C10</f>
        <v>12433067903</v>
      </c>
      <c r="D94" s="28">
        <f>+'Ejecución por Gasto2024'!D10</f>
        <v>7755912719.1700001</v>
      </c>
      <c r="E94" s="29">
        <f t="shared" ref="E94:E99" si="12">(+D94/C94)*100</f>
        <v>62.381326794640614</v>
      </c>
      <c r="F94" s="30"/>
    </row>
    <row r="95" spans="1:6" x14ac:dyDescent="0.25">
      <c r="A95" s="93"/>
      <c r="B95" s="48" t="s">
        <v>17</v>
      </c>
      <c r="C95" s="28">
        <f>+'Ejecución por Gasto2024'!C11</f>
        <v>989416603</v>
      </c>
      <c r="D95" s="28">
        <f>+'Ejecución por Gasto2024'!D11</f>
        <v>207561127</v>
      </c>
      <c r="E95" s="29">
        <f t="shared" si="12"/>
        <v>20.978132605684603</v>
      </c>
      <c r="F95" s="30"/>
    </row>
    <row r="96" spans="1:6" x14ac:dyDescent="0.25">
      <c r="A96" s="93"/>
      <c r="B96" s="48" t="s">
        <v>18</v>
      </c>
      <c r="C96" s="28">
        <f>+'Ejecución por Gasto2024'!C12</f>
        <v>116373675</v>
      </c>
      <c r="D96" s="28">
        <f>+'Ejecución por Gasto2024'!D12</f>
        <v>116373675</v>
      </c>
      <c r="E96" s="29">
        <f t="shared" si="12"/>
        <v>100</v>
      </c>
      <c r="F96" s="30"/>
    </row>
    <row r="97" spans="1:6" x14ac:dyDescent="0.25">
      <c r="A97" s="93"/>
      <c r="B97" s="60" t="s">
        <v>16</v>
      </c>
      <c r="C97" s="28">
        <f>+'Ejecución por Gasto2024'!C13</f>
        <v>21755000</v>
      </c>
      <c r="D97" s="28">
        <f>+'Ejecución por Gasto2024'!D13</f>
        <v>14761944</v>
      </c>
      <c r="E97" s="29">
        <f t="shared" si="12"/>
        <v>67.855407952194895</v>
      </c>
      <c r="F97" s="38"/>
    </row>
    <row r="98" spans="1:6" x14ac:dyDescent="0.25">
      <c r="A98" s="93"/>
      <c r="B98" s="51" t="s">
        <v>14</v>
      </c>
      <c r="C98" s="28">
        <f>+'Ejecución por Gasto2024'!C14</f>
        <v>7884050116</v>
      </c>
      <c r="D98" s="28">
        <f>+'Ejecución por Gasto2024'!D14</f>
        <v>629537156</v>
      </c>
      <c r="E98" s="37">
        <f t="shared" si="12"/>
        <v>7.9849461474427796</v>
      </c>
      <c r="F98" s="38"/>
    </row>
    <row r="99" spans="1:6" ht="15.75" thickBot="1" x14ac:dyDescent="0.3">
      <c r="A99" s="94"/>
      <c r="B99" s="52" t="s">
        <v>19</v>
      </c>
      <c r="C99" s="45">
        <f>SUM(C93:C98)</f>
        <v>139750056984</v>
      </c>
      <c r="D99" s="45">
        <f>SUM(D93:D98)</f>
        <v>83861987673.169998</v>
      </c>
      <c r="E99" s="81">
        <f t="shared" si="12"/>
        <v>60.008553472555192</v>
      </c>
      <c r="F99" s="53">
        <v>47</v>
      </c>
    </row>
    <row r="100" spans="1:6" x14ac:dyDescent="0.25">
      <c r="A100" s="93" t="s">
        <v>50</v>
      </c>
      <c r="B100" s="90" t="s">
        <v>13</v>
      </c>
      <c r="C100" s="73">
        <f>+'Ejecución por Gasto2024'!C16</f>
        <v>146286511123</v>
      </c>
      <c r="D100" s="82">
        <f>+'Ejecución por Gasto2024'!D16</f>
        <v>121739709465</v>
      </c>
      <c r="E100" s="91">
        <f>(+D100/C100)*100</f>
        <v>83.220051206662077</v>
      </c>
      <c r="F100" s="92"/>
    </row>
    <row r="101" spans="1:6" x14ac:dyDescent="0.25">
      <c r="A101" s="93"/>
      <c r="B101" s="48" t="s">
        <v>15</v>
      </c>
      <c r="C101" s="28">
        <f>+'Ejecución por Gasto2024'!C17</f>
        <v>12804805903</v>
      </c>
      <c r="D101" s="28">
        <f>+'Ejecución por Gasto2024'!D17</f>
        <v>8819221593.1700001</v>
      </c>
      <c r="E101" s="29">
        <f t="shared" ref="E101:E106" si="13">(+D101/C101)*100</f>
        <v>68.874309067845928</v>
      </c>
      <c r="F101" s="30"/>
    </row>
    <row r="102" spans="1:6" x14ac:dyDescent="0.25">
      <c r="A102" s="93"/>
      <c r="B102" s="48" t="s">
        <v>17</v>
      </c>
      <c r="C102" s="28">
        <f>+'Ejecución por Gasto2024'!C18</f>
        <v>972416603</v>
      </c>
      <c r="D102" s="28">
        <f>+'Ejecución por Gasto2024'!D18</f>
        <v>382604878</v>
      </c>
      <c r="E102" s="29">
        <f t="shared" si="13"/>
        <v>39.34577801526904</v>
      </c>
      <c r="F102" s="30"/>
    </row>
    <row r="103" spans="1:6" x14ac:dyDescent="0.25">
      <c r="A103" s="93"/>
      <c r="B103" s="48" t="s">
        <v>18</v>
      </c>
      <c r="C103" s="28">
        <f>+'Ejecución por Gasto2024'!C19</f>
        <v>216373675</v>
      </c>
      <c r="D103" s="28">
        <f>+'Ejecución por Gasto2024'!D19</f>
        <v>216373675</v>
      </c>
      <c r="E103" s="29">
        <f t="shared" si="13"/>
        <v>100</v>
      </c>
      <c r="F103" s="30"/>
    </row>
    <row r="104" spans="1:6" x14ac:dyDescent="0.25">
      <c r="A104" s="93"/>
      <c r="B104" s="60" t="s">
        <v>16</v>
      </c>
      <c r="C104" s="28">
        <f>+'Ejecución por Gasto2024'!C20</f>
        <v>21710540</v>
      </c>
      <c r="D104" s="28">
        <f>+'Ejecución por Gasto2024'!D20</f>
        <v>14761944</v>
      </c>
      <c r="E104" s="29">
        <f t="shared" si="13"/>
        <v>67.994365870217877</v>
      </c>
      <c r="F104" s="38"/>
    </row>
    <row r="105" spans="1:6" x14ac:dyDescent="0.25">
      <c r="A105" s="93"/>
      <c r="B105" s="51" t="s">
        <v>14</v>
      </c>
      <c r="C105" s="28">
        <f>+'Ejecución por Gasto2024'!C21</f>
        <v>7776281986</v>
      </c>
      <c r="D105" s="28">
        <f>+'Ejecución por Gasto2024'!D21</f>
        <v>7036985884.6800003</v>
      </c>
      <c r="E105" s="37">
        <f t="shared" si="13"/>
        <v>90.492936050274551</v>
      </c>
      <c r="F105" s="38"/>
    </row>
    <row r="106" spans="1:6" ht="15.75" thickBot="1" x14ac:dyDescent="0.3">
      <c r="A106" s="94"/>
      <c r="B106" s="52" t="s">
        <v>19</v>
      </c>
      <c r="C106" s="45">
        <f>SUM(C100:C105)</f>
        <v>168078099830</v>
      </c>
      <c r="D106" s="45">
        <f>SUM(D100:D105)</f>
        <v>138209657439.85001</v>
      </c>
      <c r="E106" s="81">
        <f t="shared" si="13"/>
        <v>82.22942642714311</v>
      </c>
      <c r="F106" s="53">
        <v>70</v>
      </c>
    </row>
    <row r="107" spans="1:6" x14ac:dyDescent="0.25">
      <c r="A107" s="93" t="s">
        <v>51</v>
      </c>
      <c r="B107" s="90" t="s">
        <v>13</v>
      </c>
      <c r="C107" s="73">
        <f>+'Ejecución por Gasto2024'!C23</f>
        <v>192299767385</v>
      </c>
      <c r="D107" s="82">
        <f>+'Ejecución por Gasto2024'!D23</f>
        <v>191364952927</v>
      </c>
      <c r="E107" s="91">
        <f>(+D107/C107)*100</f>
        <v>99.513876448883877</v>
      </c>
      <c r="F107" s="92"/>
    </row>
    <row r="108" spans="1:6" x14ac:dyDescent="0.25">
      <c r="A108" s="93"/>
      <c r="B108" s="48" t="s">
        <v>15</v>
      </c>
      <c r="C108" s="28">
        <f>+'Ejecución por Gasto2024'!C24</f>
        <v>12207204662</v>
      </c>
      <c r="D108" s="28">
        <f>+'Ejecución por Gasto2024'!D24</f>
        <v>12142212129.609999</v>
      </c>
      <c r="E108" s="29">
        <f t="shared" ref="E108:E113" si="14">(+D108/C108)*100</f>
        <v>99.467588738048136</v>
      </c>
      <c r="F108" s="30"/>
    </row>
    <row r="109" spans="1:6" x14ac:dyDescent="0.25">
      <c r="A109" s="93"/>
      <c r="B109" s="48" t="s">
        <v>17</v>
      </c>
      <c r="C109" s="28">
        <f>+'Ejecución por Gasto2024'!C25</f>
        <v>431206141</v>
      </c>
      <c r="D109" s="28">
        <f>+'Ejecución por Gasto2024'!D25</f>
        <v>407311743</v>
      </c>
      <c r="E109" s="29">
        <f t="shared" si="14"/>
        <v>94.45870646819013</v>
      </c>
      <c r="F109" s="30"/>
    </row>
    <row r="110" spans="1:6" x14ac:dyDescent="0.25">
      <c r="A110" s="93"/>
      <c r="B110" s="48" t="s">
        <v>18</v>
      </c>
      <c r="C110" s="28">
        <f>+'Ejecución por Gasto2024'!C26</f>
        <v>216373675</v>
      </c>
      <c r="D110" s="28">
        <f>+'Ejecución por Gasto2024'!D26</f>
        <v>216373675</v>
      </c>
      <c r="E110" s="29">
        <f t="shared" si="14"/>
        <v>100</v>
      </c>
      <c r="F110" s="30"/>
    </row>
    <row r="111" spans="1:6" x14ac:dyDescent="0.25">
      <c r="A111" s="93"/>
      <c r="B111" s="60" t="s">
        <v>16</v>
      </c>
      <c r="C111" s="28">
        <f>+'Ejecución por Gasto2024'!C27</f>
        <v>14761944</v>
      </c>
      <c r="D111" s="28">
        <f>+'Ejecución por Gasto2024'!D27</f>
        <v>14761944</v>
      </c>
      <c r="E111" s="29">
        <f t="shared" si="14"/>
        <v>100</v>
      </c>
      <c r="F111" s="38"/>
    </row>
    <row r="112" spans="1:6" x14ac:dyDescent="0.25">
      <c r="A112" s="93"/>
      <c r="B112" s="51" t="s">
        <v>14</v>
      </c>
      <c r="C112" s="28">
        <f>+'Ejecución por Gasto2024'!C28</f>
        <v>8034630355</v>
      </c>
      <c r="D112" s="28">
        <f>+'Ejecución por Gasto2024'!D28</f>
        <v>8034501977.6599998</v>
      </c>
      <c r="E112" s="37">
        <f t="shared" si="14"/>
        <v>99.99840219979852</v>
      </c>
      <c r="F112" s="38"/>
    </row>
    <row r="113" spans="1:6" ht="15.75" thickBot="1" x14ac:dyDescent="0.3">
      <c r="A113" s="94"/>
      <c r="B113" s="52" t="s">
        <v>19</v>
      </c>
      <c r="C113" s="45">
        <f>SUM(C107:C112)</f>
        <v>213203944162</v>
      </c>
      <c r="D113" s="45">
        <f>SUM(D107:D112)</f>
        <v>212180114396.26999</v>
      </c>
      <c r="E113" s="81">
        <f t="shared" si="14"/>
        <v>99.519788543427666</v>
      </c>
      <c r="F113" s="53">
        <v>100</v>
      </c>
    </row>
  </sheetData>
  <mergeCells count="16">
    <mergeCell ref="A107:A113"/>
    <mergeCell ref="A2:A8"/>
    <mergeCell ref="A9:A15"/>
    <mergeCell ref="A16:A22"/>
    <mergeCell ref="A23:A29"/>
    <mergeCell ref="A30:A36"/>
    <mergeCell ref="A100:A106"/>
    <mergeCell ref="A93:A99"/>
    <mergeCell ref="A86:A92"/>
    <mergeCell ref="A44:A50"/>
    <mergeCell ref="A37:A43"/>
    <mergeCell ref="A79:A85"/>
    <mergeCell ref="A72:A78"/>
    <mergeCell ref="A65:A71"/>
    <mergeCell ref="A58:A64"/>
    <mergeCell ref="A51:A5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U51"/>
  <sheetViews>
    <sheetView topLeftCell="A19" workbookViewId="0">
      <selection activeCell="C28" sqref="C28"/>
    </sheetView>
  </sheetViews>
  <sheetFormatPr baseColWidth="10" defaultRowHeight="15" x14ac:dyDescent="0.25"/>
  <cols>
    <col min="1" max="1" width="12" customWidth="1"/>
    <col min="2" max="2" width="35.85546875" bestFit="1" customWidth="1"/>
    <col min="3" max="3" width="18.85546875" bestFit="1" customWidth="1"/>
    <col min="4" max="4" width="17.7109375" customWidth="1"/>
    <col min="6" max="6" width="6.42578125" customWidth="1"/>
    <col min="7" max="7" width="18.85546875" bestFit="1" customWidth="1"/>
    <col min="8" max="8" width="35.85546875" bestFit="1" customWidth="1"/>
    <col min="9" max="9" width="15.140625" bestFit="1" customWidth="1"/>
    <col min="10" max="10" width="14.85546875" customWidth="1"/>
    <col min="12" max="12" width="35.85546875" bestFit="1" customWidth="1"/>
    <col min="13" max="14" width="16.28515625" bestFit="1" customWidth="1"/>
    <col min="16" max="16" width="35.85546875" bestFit="1" customWidth="1"/>
    <col min="17" max="18" width="14.140625" bestFit="1" customWidth="1"/>
    <col min="20" max="20" width="15.140625" bestFit="1" customWidth="1"/>
  </cols>
  <sheetData>
    <row r="1" spans="1:21" ht="15.75" thickBot="1" x14ac:dyDescent="0.3">
      <c r="A1" s="31" t="s">
        <v>9</v>
      </c>
      <c r="B1" s="71" t="s">
        <v>12</v>
      </c>
      <c r="C1" s="31" t="s">
        <v>4</v>
      </c>
      <c r="D1" s="74" t="s">
        <v>5</v>
      </c>
      <c r="E1" s="72" t="s">
        <v>8</v>
      </c>
      <c r="F1" s="35" t="s">
        <v>7</v>
      </c>
      <c r="H1" s="96" t="s">
        <v>32</v>
      </c>
      <c r="I1" s="96"/>
      <c r="J1" s="96"/>
      <c r="L1" s="96" t="s">
        <v>33</v>
      </c>
      <c r="M1" s="96"/>
      <c r="N1" s="96"/>
      <c r="P1" s="96" t="s">
        <v>34</v>
      </c>
      <c r="Q1" s="96"/>
      <c r="R1" s="96"/>
    </row>
    <row r="2" spans="1:21" ht="15.75" thickBot="1" x14ac:dyDescent="0.3">
      <c r="A2" s="95" t="s">
        <v>48</v>
      </c>
      <c r="B2" s="47" t="s">
        <v>13</v>
      </c>
      <c r="C2" s="73">
        <f>+I3+M3+Q3</f>
        <v>107285929476</v>
      </c>
      <c r="D2" s="73">
        <f>+J3+N3+R3</f>
        <v>29659503951</v>
      </c>
      <c r="E2" s="40">
        <f>(+D2/C2)*100</f>
        <v>27.645287779917933</v>
      </c>
      <c r="F2" s="41"/>
      <c r="H2" s="69" t="s">
        <v>12</v>
      </c>
      <c r="I2" s="70" t="s">
        <v>4</v>
      </c>
      <c r="J2" s="70" t="s">
        <v>5</v>
      </c>
      <c r="L2" s="69" t="s">
        <v>12</v>
      </c>
      <c r="M2" s="70" t="s">
        <v>4</v>
      </c>
      <c r="N2" s="70" t="s">
        <v>5</v>
      </c>
      <c r="P2" s="69" t="s">
        <v>12</v>
      </c>
      <c r="Q2" s="70" t="s">
        <v>4</v>
      </c>
      <c r="R2" s="70" t="s">
        <v>5</v>
      </c>
    </row>
    <row r="3" spans="1:21" x14ac:dyDescent="0.25">
      <c r="A3" s="93"/>
      <c r="B3" s="48" t="s">
        <v>15</v>
      </c>
      <c r="C3" s="73">
        <f t="shared" ref="C3:C6" si="0">+I4+M4+Q4</f>
        <v>10118989498</v>
      </c>
      <c r="D3" s="73">
        <f t="shared" ref="D3:D6" si="1">+J4+N4+R4</f>
        <v>6547297403.1700001</v>
      </c>
      <c r="E3" s="29">
        <f t="shared" ref="E3:E8" si="2">(+D3/C3)*100</f>
        <v>64.703075385779002</v>
      </c>
      <c r="F3" s="30"/>
      <c r="H3" s="47" t="s">
        <v>13</v>
      </c>
      <c r="I3" s="39">
        <v>5078034535</v>
      </c>
      <c r="J3" s="39">
        <v>1433422877</v>
      </c>
      <c r="L3" s="47" t="s">
        <v>13</v>
      </c>
      <c r="M3" s="39">
        <v>99030035001</v>
      </c>
      <c r="N3" s="39">
        <v>27320154582</v>
      </c>
      <c r="P3" s="47" t="s">
        <v>13</v>
      </c>
      <c r="Q3" s="39">
        <v>3177859940</v>
      </c>
      <c r="R3" s="39">
        <v>905926492</v>
      </c>
      <c r="T3" s="42"/>
      <c r="U3" s="42"/>
    </row>
    <row r="4" spans="1:21" x14ac:dyDescent="0.25">
      <c r="A4" s="93"/>
      <c r="B4" s="48" t="s">
        <v>17</v>
      </c>
      <c r="C4" s="73">
        <f t="shared" si="0"/>
        <v>373416603</v>
      </c>
      <c r="D4" s="73">
        <f t="shared" si="1"/>
        <v>183057709</v>
      </c>
      <c r="E4" s="29">
        <f t="shared" si="2"/>
        <v>49.022380775072286</v>
      </c>
      <c r="F4" s="30"/>
      <c r="H4" s="48" t="s">
        <v>15</v>
      </c>
      <c r="I4" s="28">
        <v>1023716701</v>
      </c>
      <c r="J4" s="28">
        <v>536464537</v>
      </c>
      <c r="L4" s="48" t="s">
        <v>15</v>
      </c>
      <c r="M4" s="28">
        <v>8561916736</v>
      </c>
      <c r="N4" s="28">
        <v>5944525807.1700001</v>
      </c>
      <c r="P4" s="48" t="s">
        <v>15</v>
      </c>
      <c r="Q4" s="28">
        <v>533356061</v>
      </c>
      <c r="R4" s="28">
        <v>66307059</v>
      </c>
      <c r="T4" s="42"/>
      <c r="U4" s="42"/>
    </row>
    <row r="5" spans="1:21" x14ac:dyDescent="0.25">
      <c r="A5" s="93"/>
      <c r="B5" s="48" t="s">
        <v>18</v>
      </c>
      <c r="C5" s="73">
        <f t="shared" si="0"/>
        <v>69962173</v>
      </c>
      <c r="D5" s="73">
        <f t="shared" si="1"/>
        <v>69962173</v>
      </c>
      <c r="E5" s="29">
        <f t="shared" si="2"/>
        <v>100</v>
      </c>
      <c r="F5" s="30"/>
      <c r="H5" s="48" t="s">
        <v>17</v>
      </c>
      <c r="I5" s="28">
        <v>65042882</v>
      </c>
      <c r="J5" s="28">
        <v>49470087</v>
      </c>
      <c r="L5" s="48" t="s">
        <v>17</v>
      </c>
      <c r="M5" s="28">
        <v>301373721</v>
      </c>
      <c r="N5" s="28">
        <v>133587622</v>
      </c>
      <c r="P5" s="48" t="s">
        <v>17</v>
      </c>
      <c r="Q5" s="28">
        <v>7000000</v>
      </c>
      <c r="R5" s="28">
        <v>0</v>
      </c>
      <c r="T5" s="42"/>
      <c r="U5" s="42"/>
    </row>
    <row r="6" spans="1:21" x14ac:dyDescent="0.25">
      <c r="A6" s="93"/>
      <c r="B6" s="60" t="s">
        <v>16</v>
      </c>
      <c r="C6" s="73">
        <f t="shared" si="0"/>
        <v>21755000</v>
      </c>
      <c r="D6" s="73">
        <f t="shared" si="1"/>
        <v>14761944</v>
      </c>
      <c r="E6" s="29">
        <f t="shared" si="2"/>
        <v>67.855407952194895</v>
      </c>
      <c r="F6" s="38"/>
      <c r="H6" s="48" t="s">
        <v>18</v>
      </c>
      <c r="I6" s="28"/>
      <c r="J6" s="28"/>
      <c r="L6" s="48" t="s">
        <v>18</v>
      </c>
      <c r="M6" s="28">
        <v>69962173</v>
      </c>
      <c r="N6" s="28">
        <v>69962173</v>
      </c>
      <c r="P6" s="48" t="s">
        <v>18</v>
      </c>
      <c r="Q6" s="28"/>
      <c r="R6" s="28"/>
      <c r="T6" s="42"/>
      <c r="U6" s="42"/>
    </row>
    <row r="7" spans="1:21" x14ac:dyDescent="0.25">
      <c r="A7" s="93"/>
      <c r="B7" s="51" t="s">
        <v>14</v>
      </c>
      <c r="C7" s="73">
        <f>+I9+I10+M9+M10+Q9+Q10</f>
        <v>6614640431</v>
      </c>
      <c r="D7" s="73">
        <f>+J9+J10+N9+N10+R9+R10</f>
        <v>126599975.13</v>
      </c>
      <c r="E7" s="29">
        <f t="shared" si="2"/>
        <v>1.9139358586549902</v>
      </c>
      <c r="F7" s="38"/>
      <c r="H7" s="60" t="s">
        <v>16</v>
      </c>
      <c r="I7" s="28"/>
      <c r="J7" s="28"/>
      <c r="L7" s="60" t="s">
        <v>16</v>
      </c>
      <c r="M7" s="36">
        <v>21755000</v>
      </c>
      <c r="N7" s="36">
        <v>14761944</v>
      </c>
      <c r="P7" s="60" t="s">
        <v>16</v>
      </c>
      <c r="Q7" s="36"/>
      <c r="R7" s="36"/>
      <c r="T7" s="42"/>
      <c r="U7" s="42"/>
    </row>
    <row r="8" spans="1:21" ht="15.75" thickBot="1" x14ac:dyDescent="0.3">
      <c r="A8" s="94"/>
      <c r="B8" s="52" t="s">
        <v>19</v>
      </c>
      <c r="C8" s="45">
        <f>SUM(C2:C7)</f>
        <v>124484693181</v>
      </c>
      <c r="D8" s="45">
        <f>SUM(D2:D7)</f>
        <v>36601183155.299995</v>
      </c>
      <c r="E8" s="75">
        <f t="shared" si="2"/>
        <v>29.402155574325988</v>
      </c>
      <c r="F8" s="53">
        <v>21</v>
      </c>
      <c r="H8" s="67" t="s">
        <v>29</v>
      </c>
      <c r="I8" s="68">
        <f>SUM(I3:I7)</f>
        <v>6166794118</v>
      </c>
      <c r="J8" s="68">
        <f>SUM(J3:J7)</f>
        <v>2019357501</v>
      </c>
      <c r="L8" s="67" t="s">
        <v>29</v>
      </c>
      <c r="M8" s="68">
        <f>SUM(M3:M7)</f>
        <v>107985042631</v>
      </c>
      <c r="N8" s="68">
        <f>SUM(N3:N7)</f>
        <v>33482992128.169998</v>
      </c>
      <c r="P8" s="67" t="s">
        <v>29</v>
      </c>
      <c r="Q8" s="68">
        <f>SUM(Q3:Q7)</f>
        <v>3718216001</v>
      </c>
      <c r="R8" s="68">
        <f>SUM(R3:R7)</f>
        <v>972233551</v>
      </c>
    </row>
    <row r="9" spans="1:21" x14ac:dyDescent="0.25">
      <c r="A9" s="95" t="s">
        <v>49</v>
      </c>
      <c r="B9" s="47" t="s">
        <v>13</v>
      </c>
      <c r="C9" s="73">
        <f>+I16+M16+Q16</f>
        <v>118305393687</v>
      </c>
      <c r="D9" s="73">
        <f>+J16+N16+R16</f>
        <v>75137841052</v>
      </c>
      <c r="E9" s="40">
        <f t="shared" ref="E9:E14" si="3">(+D9/C9)*100</f>
        <v>63.511762828660046</v>
      </c>
      <c r="F9" s="41"/>
      <c r="G9" s="83"/>
      <c r="H9" s="51" t="s">
        <v>28</v>
      </c>
      <c r="I9" s="28">
        <f>6113019676</f>
        <v>6113019676</v>
      </c>
      <c r="J9" s="28">
        <f>6709975.13</f>
        <v>6709975.1299999999</v>
      </c>
      <c r="L9" s="51" t="s">
        <v>28</v>
      </c>
      <c r="M9" s="36"/>
      <c r="N9" s="36"/>
      <c r="P9" s="51" t="s">
        <v>28</v>
      </c>
      <c r="Q9" s="36"/>
      <c r="R9" s="36"/>
      <c r="T9" s="42"/>
      <c r="U9" s="42"/>
    </row>
    <row r="10" spans="1:21" x14ac:dyDescent="0.25">
      <c r="A10" s="93"/>
      <c r="B10" s="48" t="s">
        <v>15</v>
      </c>
      <c r="C10" s="73">
        <f>+I17+M17+Q17</f>
        <v>12433067903</v>
      </c>
      <c r="D10" s="73">
        <f t="shared" ref="D10:D13" si="4">+J17+N17+R17</f>
        <v>7755912719.1700001</v>
      </c>
      <c r="E10" s="29">
        <f t="shared" si="3"/>
        <v>62.381326794640614</v>
      </c>
      <c r="F10" s="30"/>
      <c r="G10" s="61"/>
      <c r="H10" s="51" t="s">
        <v>30</v>
      </c>
      <c r="I10" s="36">
        <v>501620755</v>
      </c>
      <c r="J10" s="36">
        <v>119890000</v>
      </c>
      <c r="L10" s="51" t="s">
        <v>30</v>
      </c>
      <c r="M10" s="36"/>
      <c r="N10" s="36"/>
      <c r="P10" s="51" t="s">
        <v>30</v>
      </c>
      <c r="Q10" s="36"/>
      <c r="R10" s="36"/>
      <c r="T10" s="42"/>
      <c r="U10" s="42"/>
    </row>
    <row r="11" spans="1:21" x14ac:dyDescent="0.25">
      <c r="A11" s="93"/>
      <c r="B11" s="48" t="s">
        <v>17</v>
      </c>
      <c r="C11" s="73">
        <f>+I18+M18+Q18</f>
        <v>989416603</v>
      </c>
      <c r="D11" s="73">
        <f t="shared" si="4"/>
        <v>207561127</v>
      </c>
      <c r="E11" s="29">
        <f t="shared" si="3"/>
        <v>20.978132605684603</v>
      </c>
      <c r="F11" s="30"/>
      <c r="G11" s="62"/>
      <c r="H11" s="67" t="s">
        <v>31</v>
      </c>
      <c r="I11" s="68">
        <f>+I9+I10</f>
        <v>6614640431</v>
      </c>
      <c r="J11" s="68">
        <f>+J9+J10</f>
        <v>126599975.13</v>
      </c>
      <c r="L11" s="67" t="s">
        <v>31</v>
      </c>
      <c r="M11" s="68">
        <f>+M9+M10</f>
        <v>0</v>
      </c>
      <c r="N11" s="68">
        <f>+N9+N10</f>
        <v>0</v>
      </c>
      <c r="P11" s="67" t="s">
        <v>31</v>
      </c>
      <c r="Q11" s="68">
        <f>+Q9+Q10</f>
        <v>0</v>
      </c>
      <c r="R11" s="68">
        <f>+R9+R10</f>
        <v>0</v>
      </c>
    </row>
    <row r="12" spans="1:21" ht="15.75" thickBot="1" x14ac:dyDescent="0.3">
      <c r="A12" s="93"/>
      <c r="B12" s="48" t="s">
        <v>18</v>
      </c>
      <c r="C12" s="73">
        <f>+I19+M19+Q19</f>
        <v>116373675</v>
      </c>
      <c r="D12" s="73">
        <f t="shared" si="4"/>
        <v>116373675</v>
      </c>
      <c r="E12" s="29">
        <f t="shared" si="3"/>
        <v>100</v>
      </c>
      <c r="F12" s="30"/>
      <c r="H12" s="52" t="s">
        <v>19</v>
      </c>
      <c r="I12" s="45">
        <f>+I8+I11</f>
        <v>12781434549</v>
      </c>
      <c r="J12" s="45">
        <f>+J8+J11</f>
        <v>2145957476.1300001</v>
      </c>
      <c r="L12" s="52" t="s">
        <v>19</v>
      </c>
      <c r="M12" s="45">
        <f>+M8+M11</f>
        <v>107985042631</v>
      </c>
      <c r="N12" s="45">
        <f>+N8+N11</f>
        <v>33482992128.169998</v>
      </c>
      <c r="P12" s="52" t="s">
        <v>19</v>
      </c>
      <c r="Q12" s="45">
        <f>+Q8+Q11</f>
        <v>3718216001</v>
      </c>
      <c r="R12" s="45">
        <f>+R8+R11</f>
        <v>972233551</v>
      </c>
    </row>
    <row r="13" spans="1:21" x14ac:dyDescent="0.25">
      <c r="A13" s="93"/>
      <c r="B13" s="60" t="s">
        <v>16</v>
      </c>
      <c r="C13" s="73">
        <f>+I20+M20+Q20</f>
        <v>21755000</v>
      </c>
      <c r="D13" s="73">
        <f t="shared" si="4"/>
        <v>14761944</v>
      </c>
      <c r="E13" s="29">
        <f t="shared" si="3"/>
        <v>67.855407952194895</v>
      </c>
      <c r="F13" s="38"/>
    </row>
    <row r="14" spans="1:21" x14ac:dyDescent="0.25">
      <c r="A14" s="93"/>
      <c r="B14" s="48" t="s">
        <v>14</v>
      </c>
      <c r="C14" s="73">
        <f>+I22+I23+M22+M23+Q22+Q23</f>
        <v>7884050116</v>
      </c>
      <c r="D14" s="73">
        <f>+J22+J23+N22+N23+R22+R23</f>
        <v>629537156</v>
      </c>
      <c r="E14" s="29">
        <f t="shared" si="3"/>
        <v>7.9849461474427796</v>
      </c>
      <c r="F14" s="30"/>
      <c r="G14" s="84"/>
      <c r="H14" s="96" t="s">
        <v>35</v>
      </c>
      <c r="I14" s="96"/>
      <c r="J14" s="96"/>
      <c r="L14" s="96" t="s">
        <v>36</v>
      </c>
      <c r="M14" s="96"/>
      <c r="N14" s="96"/>
      <c r="P14" s="96" t="s">
        <v>37</v>
      </c>
      <c r="Q14" s="96"/>
      <c r="R14" s="96"/>
    </row>
    <row r="15" spans="1:21" ht="15.75" thickBot="1" x14ac:dyDescent="0.3">
      <c r="A15" s="94"/>
      <c r="B15" s="49" t="s">
        <v>19</v>
      </c>
      <c r="C15" s="43">
        <f>SUM(C9:C14)</f>
        <v>139750056984</v>
      </c>
      <c r="D15" s="43">
        <f>SUM(D9:D14)</f>
        <v>83861987673.169998</v>
      </c>
      <c r="E15" s="44">
        <f>+D15/C15*100</f>
        <v>60.008553472555192</v>
      </c>
      <c r="F15" s="50">
        <v>47</v>
      </c>
      <c r="G15" s="42"/>
      <c r="H15" s="69" t="s">
        <v>12</v>
      </c>
      <c r="I15" s="70" t="s">
        <v>4</v>
      </c>
      <c r="J15" s="70" t="s">
        <v>5</v>
      </c>
      <c r="L15" s="69" t="s">
        <v>12</v>
      </c>
      <c r="M15" s="70" t="s">
        <v>4</v>
      </c>
      <c r="N15" s="70" t="s">
        <v>5</v>
      </c>
      <c r="P15" s="69" t="s">
        <v>12</v>
      </c>
      <c r="Q15" s="70" t="s">
        <v>4</v>
      </c>
      <c r="R15" s="70" t="s">
        <v>5</v>
      </c>
    </row>
    <row r="16" spans="1:21" x14ac:dyDescent="0.25">
      <c r="A16" s="95" t="s">
        <v>50</v>
      </c>
      <c r="B16" s="47" t="s">
        <v>13</v>
      </c>
      <c r="C16" s="76">
        <f>+I29+M29+Q29</f>
        <v>146286511123</v>
      </c>
      <c r="D16" s="76">
        <f>+J29+N29+R29</f>
        <v>121739709465</v>
      </c>
      <c r="E16" s="40">
        <f t="shared" ref="E16:E21" si="5">(+D16/C16)*100</f>
        <v>83.220051206662077</v>
      </c>
      <c r="F16" s="41"/>
      <c r="G16" s="61"/>
      <c r="H16" s="47" t="s">
        <v>13</v>
      </c>
      <c r="I16" s="39">
        <f>5863706027+71148039</f>
        <v>5934854066</v>
      </c>
      <c r="J16" s="39">
        <v>3481088256</v>
      </c>
      <c r="L16" s="47" t="s">
        <v>13</v>
      </c>
      <c r="M16" s="39">
        <v>108690822271</v>
      </c>
      <c r="N16" s="39">
        <v>69262574560</v>
      </c>
      <c r="P16" s="47" t="s">
        <v>13</v>
      </c>
      <c r="Q16" s="39">
        <v>3679717350</v>
      </c>
      <c r="R16" s="39">
        <v>2394178236</v>
      </c>
    </row>
    <row r="17" spans="1:18" x14ac:dyDescent="0.25">
      <c r="A17" s="93"/>
      <c r="B17" s="48" t="s">
        <v>15</v>
      </c>
      <c r="C17" s="28">
        <f t="shared" ref="C17:D17" si="6">+I30+M30+Q30</f>
        <v>12804805903</v>
      </c>
      <c r="D17" s="28">
        <f t="shared" si="6"/>
        <v>8819221593.1700001</v>
      </c>
      <c r="E17" s="29">
        <f t="shared" si="5"/>
        <v>68.874309067845928</v>
      </c>
      <c r="F17" s="30"/>
      <c r="H17" s="48" t="s">
        <v>15</v>
      </c>
      <c r="I17" s="28">
        <v>1169830472</v>
      </c>
      <c r="J17" s="28">
        <v>737464839</v>
      </c>
      <c r="L17" s="48" t="s">
        <v>15</v>
      </c>
      <c r="M17" s="28">
        <v>10659257506</v>
      </c>
      <c r="N17" s="28">
        <v>6697695208.1700001</v>
      </c>
      <c r="P17" s="48" t="s">
        <v>15</v>
      </c>
      <c r="Q17" s="28">
        <v>603979925</v>
      </c>
      <c r="R17" s="28">
        <v>320752672</v>
      </c>
    </row>
    <row r="18" spans="1:18" x14ac:dyDescent="0.25">
      <c r="A18" s="93"/>
      <c r="B18" s="48" t="s">
        <v>17</v>
      </c>
      <c r="C18" s="28">
        <f t="shared" ref="C18:D18" si="7">+I31+M31+Q31</f>
        <v>972416603</v>
      </c>
      <c r="D18" s="28">
        <f t="shared" si="7"/>
        <v>382604878</v>
      </c>
      <c r="E18" s="29">
        <f t="shared" si="5"/>
        <v>39.34577801526904</v>
      </c>
      <c r="F18" s="30"/>
      <c r="H18" s="48" t="s">
        <v>17</v>
      </c>
      <c r="I18" s="28">
        <v>186042882</v>
      </c>
      <c r="J18" s="28">
        <v>52404918</v>
      </c>
      <c r="L18" s="48" t="s">
        <v>17</v>
      </c>
      <c r="M18" s="28">
        <v>781373721</v>
      </c>
      <c r="N18" s="28">
        <v>154390815</v>
      </c>
      <c r="P18" s="48" t="s">
        <v>17</v>
      </c>
      <c r="Q18" s="28">
        <v>22000000</v>
      </c>
      <c r="R18" s="28">
        <v>765394</v>
      </c>
    </row>
    <row r="19" spans="1:18" x14ac:dyDescent="0.25">
      <c r="A19" s="93"/>
      <c r="B19" s="48" t="s">
        <v>18</v>
      </c>
      <c r="C19" s="28">
        <f t="shared" ref="C19:D19" si="8">+I32+M32+Q32</f>
        <v>216373675</v>
      </c>
      <c r="D19" s="28">
        <f t="shared" si="8"/>
        <v>216373675</v>
      </c>
      <c r="E19" s="29">
        <f t="shared" si="5"/>
        <v>100</v>
      </c>
      <c r="F19" s="30"/>
      <c r="H19" s="48" t="s">
        <v>18</v>
      </c>
      <c r="I19" s="28"/>
      <c r="J19" s="28"/>
      <c r="L19" s="48" t="s">
        <v>18</v>
      </c>
      <c r="M19" s="28">
        <v>116373675</v>
      </c>
      <c r="N19" s="28">
        <v>116373675</v>
      </c>
      <c r="P19" s="48" t="s">
        <v>18</v>
      </c>
      <c r="Q19" s="28"/>
      <c r="R19" s="28"/>
    </row>
    <row r="20" spans="1:18" x14ac:dyDescent="0.25">
      <c r="A20" s="93"/>
      <c r="B20" s="60" t="s">
        <v>16</v>
      </c>
      <c r="C20" s="28">
        <f t="shared" ref="C20:D20" si="9">+I33+M33+Q33</f>
        <v>21710540</v>
      </c>
      <c r="D20" s="28">
        <f t="shared" si="9"/>
        <v>14761944</v>
      </c>
      <c r="E20" s="29">
        <f t="shared" si="5"/>
        <v>67.994365870217877</v>
      </c>
      <c r="F20" s="38"/>
      <c r="H20" s="60" t="s">
        <v>16</v>
      </c>
      <c r="I20" s="36"/>
      <c r="J20" s="36"/>
      <c r="L20" s="60" t="s">
        <v>16</v>
      </c>
      <c r="M20" s="36">
        <v>21755000</v>
      </c>
      <c r="N20" s="36">
        <v>14761944</v>
      </c>
      <c r="P20" s="60" t="s">
        <v>16</v>
      </c>
      <c r="Q20" s="36"/>
      <c r="R20" s="36"/>
    </row>
    <row r="21" spans="1:18" x14ac:dyDescent="0.25">
      <c r="A21" s="93"/>
      <c r="B21" s="48" t="s">
        <v>14</v>
      </c>
      <c r="C21" s="28">
        <f>+I37+M37+Q37</f>
        <v>7776281986</v>
      </c>
      <c r="D21" s="28">
        <f>+J37+N37+R37</f>
        <v>7036985884.6800003</v>
      </c>
      <c r="E21" s="29">
        <f t="shared" si="5"/>
        <v>90.492936050274551</v>
      </c>
      <c r="F21" s="30"/>
      <c r="H21" s="67" t="s">
        <v>29</v>
      </c>
      <c r="I21" s="68">
        <f>SUM(I16:I20)</f>
        <v>7290727420</v>
      </c>
      <c r="J21" s="68">
        <f>SUM(J16:J20)</f>
        <v>4270958013</v>
      </c>
      <c r="L21" s="67" t="s">
        <v>29</v>
      </c>
      <c r="M21" s="68">
        <f>SUM(M16:M20)</f>
        <v>120269582173</v>
      </c>
      <c r="N21" s="68">
        <f>SUM(N16:N20)</f>
        <v>76245796202.169998</v>
      </c>
      <c r="P21" s="67" t="s">
        <v>29</v>
      </c>
      <c r="Q21" s="68">
        <f>SUM(Q16:Q20)</f>
        <v>4305697275</v>
      </c>
      <c r="R21" s="68">
        <f>SUM(R16:R20)</f>
        <v>2715696302</v>
      </c>
    </row>
    <row r="22" spans="1:18" ht="15.75" thickBot="1" x14ac:dyDescent="0.3">
      <c r="A22" s="94"/>
      <c r="B22" s="49" t="s">
        <v>19</v>
      </c>
      <c r="C22" s="43">
        <f>SUM(C16:C21)</f>
        <v>168078099830</v>
      </c>
      <c r="D22" s="43">
        <f>SUM(D16:D21)</f>
        <v>138209657439.85001</v>
      </c>
      <c r="E22" s="44">
        <f>+D22/C22*100</f>
        <v>82.22942642714311</v>
      </c>
      <c r="F22" s="50">
        <v>70</v>
      </c>
      <c r="H22" s="51" t="s">
        <v>28</v>
      </c>
      <c r="I22" s="36">
        <v>6867410163</v>
      </c>
      <c r="J22" s="36">
        <v>445893156</v>
      </c>
      <c r="L22" s="51" t="s">
        <v>28</v>
      </c>
      <c r="M22" s="36"/>
      <c r="N22" s="36"/>
      <c r="P22" s="51" t="s">
        <v>28</v>
      </c>
      <c r="Q22" s="36"/>
      <c r="R22" s="36"/>
    </row>
    <row r="23" spans="1:18" x14ac:dyDescent="0.25">
      <c r="A23" s="95" t="s">
        <v>51</v>
      </c>
      <c r="B23" s="47" t="s">
        <v>13</v>
      </c>
      <c r="C23" s="39">
        <f t="shared" ref="C23:D27" si="10">+I42+M42+Q42</f>
        <v>192299767385</v>
      </c>
      <c r="D23" s="39">
        <f t="shared" si="10"/>
        <v>191364952927</v>
      </c>
      <c r="E23" s="40">
        <f t="shared" ref="E23:E28" si="11">(+D23/C23)*100</f>
        <v>99.513876448883877</v>
      </c>
      <c r="F23" s="41"/>
      <c r="H23" s="51" t="s">
        <v>30</v>
      </c>
      <c r="I23" s="36">
        <v>1016639953</v>
      </c>
      <c r="J23" s="36">
        <v>183644000</v>
      </c>
      <c r="L23" s="51" t="s">
        <v>30</v>
      </c>
      <c r="M23" s="36"/>
      <c r="N23" s="36"/>
      <c r="P23" s="51" t="s">
        <v>30</v>
      </c>
      <c r="Q23" s="36"/>
      <c r="R23" s="36"/>
    </row>
    <row r="24" spans="1:18" x14ac:dyDescent="0.25">
      <c r="A24" s="93"/>
      <c r="B24" s="48" t="s">
        <v>15</v>
      </c>
      <c r="C24" s="28">
        <f t="shared" si="10"/>
        <v>12207204662</v>
      </c>
      <c r="D24" s="28">
        <f t="shared" si="10"/>
        <v>12142212129.609999</v>
      </c>
      <c r="E24" s="29">
        <f t="shared" si="11"/>
        <v>99.467588738048136</v>
      </c>
      <c r="F24" s="30"/>
      <c r="H24" s="67" t="s">
        <v>31</v>
      </c>
      <c r="I24" s="68">
        <f>+I22+I23</f>
        <v>7884050116</v>
      </c>
      <c r="J24" s="68">
        <f>+J22+J23</f>
        <v>629537156</v>
      </c>
      <c r="L24" s="67" t="s">
        <v>31</v>
      </c>
      <c r="M24" s="68">
        <f>+M22+M23</f>
        <v>0</v>
      </c>
      <c r="N24" s="68">
        <f>+N22+N23</f>
        <v>0</v>
      </c>
      <c r="P24" s="67" t="s">
        <v>31</v>
      </c>
      <c r="Q24" s="68">
        <f>+Q22+Q23</f>
        <v>0</v>
      </c>
      <c r="R24" s="68">
        <f>+R22+R23</f>
        <v>0</v>
      </c>
    </row>
    <row r="25" spans="1:18" ht="15.75" thickBot="1" x14ac:dyDescent="0.3">
      <c r="A25" s="93"/>
      <c r="B25" s="48" t="s">
        <v>17</v>
      </c>
      <c r="C25" s="28">
        <f t="shared" si="10"/>
        <v>431206141</v>
      </c>
      <c r="D25" s="28">
        <f t="shared" si="10"/>
        <v>407311743</v>
      </c>
      <c r="E25" s="29">
        <f t="shared" si="11"/>
        <v>94.45870646819013</v>
      </c>
      <c r="F25" s="30"/>
      <c r="H25" s="52" t="s">
        <v>19</v>
      </c>
      <c r="I25" s="45">
        <f>+I21+I24</f>
        <v>15174777536</v>
      </c>
      <c r="J25" s="45">
        <f>+J21+J24</f>
        <v>4900495169</v>
      </c>
      <c r="L25" s="52" t="s">
        <v>19</v>
      </c>
      <c r="M25" s="45">
        <f>+M21+M24</f>
        <v>120269582173</v>
      </c>
      <c r="N25" s="45">
        <f>+N21+N24</f>
        <v>76245796202.169998</v>
      </c>
      <c r="P25" s="52" t="s">
        <v>19</v>
      </c>
      <c r="Q25" s="45">
        <f>+Q21+Q24</f>
        <v>4305697275</v>
      </c>
      <c r="R25" s="45">
        <f>+R21+R24</f>
        <v>2715696302</v>
      </c>
    </row>
    <row r="26" spans="1:18" x14ac:dyDescent="0.25">
      <c r="A26" s="93"/>
      <c r="B26" s="48" t="s">
        <v>18</v>
      </c>
      <c r="C26" s="28">
        <f t="shared" si="10"/>
        <v>216373675</v>
      </c>
      <c r="D26" s="28">
        <f t="shared" si="10"/>
        <v>216373675</v>
      </c>
      <c r="E26" s="29">
        <f t="shared" si="11"/>
        <v>100</v>
      </c>
      <c r="F26" s="30"/>
      <c r="I26" s="42"/>
      <c r="M26" s="42"/>
      <c r="N26" s="42"/>
    </row>
    <row r="27" spans="1:18" x14ac:dyDescent="0.25">
      <c r="A27" s="93"/>
      <c r="B27" s="60" t="s">
        <v>16</v>
      </c>
      <c r="C27" s="36">
        <f t="shared" si="10"/>
        <v>14761944</v>
      </c>
      <c r="D27" s="36">
        <f t="shared" si="10"/>
        <v>14761944</v>
      </c>
      <c r="E27" s="29">
        <f t="shared" si="11"/>
        <v>100</v>
      </c>
      <c r="F27" s="38"/>
      <c r="H27" s="96" t="s">
        <v>38</v>
      </c>
      <c r="I27" s="96"/>
      <c r="J27" s="96"/>
      <c r="L27" s="96" t="s">
        <v>39</v>
      </c>
      <c r="M27" s="96"/>
      <c r="N27" s="96"/>
      <c r="P27" s="96" t="s">
        <v>40</v>
      </c>
      <c r="Q27" s="96"/>
      <c r="R27" s="96"/>
    </row>
    <row r="28" spans="1:18" ht="15.75" thickBot="1" x14ac:dyDescent="0.3">
      <c r="A28" s="93"/>
      <c r="B28" s="48" t="s">
        <v>14</v>
      </c>
      <c r="C28" s="28">
        <f>+I50+M50+Q50</f>
        <v>8034630355</v>
      </c>
      <c r="D28" s="28">
        <f>+J50+N50+R50</f>
        <v>8034501977.6599998</v>
      </c>
      <c r="E28" s="29">
        <f t="shared" si="11"/>
        <v>99.99840219979852</v>
      </c>
      <c r="F28" s="30"/>
      <c r="H28" s="69" t="s">
        <v>12</v>
      </c>
      <c r="I28" s="70" t="s">
        <v>4</v>
      </c>
      <c r="J28" s="70" t="s">
        <v>5</v>
      </c>
      <c r="L28" s="69" t="s">
        <v>12</v>
      </c>
      <c r="M28" s="70" t="s">
        <v>4</v>
      </c>
      <c r="N28" s="70" t="s">
        <v>5</v>
      </c>
      <c r="P28" s="69" t="s">
        <v>12</v>
      </c>
      <c r="Q28" s="70" t="s">
        <v>4</v>
      </c>
      <c r="R28" s="70" t="s">
        <v>5</v>
      </c>
    </row>
    <row r="29" spans="1:18" ht="15.75" thickBot="1" x14ac:dyDescent="0.3">
      <c r="A29" s="94"/>
      <c r="B29" s="49" t="s">
        <v>19</v>
      </c>
      <c r="C29" s="43">
        <f>SUM(C23:C28)</f>
        <v>213203944162</v>
      </c>
      <c r="D29" s="43">
        <f>SUM(D23:D28)</f>
        <v>212180114396.26999</v>
      </c>
      <c r="E29" s="44">
        <f>+D29/C29*100</f>
        <v>99.519788543427666</v>
      </c>
      <c r="F29" s="50">
        <v>100</v>
      </c>
      <c r="H29" s="47" t="s">
        <v>13</v>
      </c>
      <c r="I29" s="39">
        <f>6812485706+71148039</f>
        <v>6883633745</v>
      </c>
      <c r="J29" s="28">
        <f>5405751808+42381637</f>
        <v>5448133445</v>
      </c>
      <c r="L29" s="47" t="s">
        <v>13</v>
      </c>
      <c r="M29" s="39">
        <v>134588594975</v>
      </c>
      <c r="N29" s="39">
        <v>112350792133</v>
      </c>
      <c r="P29" s="47" t="s">
        <v>13</v>
      </c>
      <c r="Q29" s="39">
        <v>4814282403</v>
      </c>
      <c r="R29" s="39">
        <v>3940783887</v>
      </c>
    </row>
    <row r="30" spans="1:18" x14ac:dyDescent="0.25">
      <c r="H30" s="48" t="s">
        <v>15</v>
      </c>
      <c r="I30" s="28">
        <v>1169830472</v>
      </c>
      <c r="J30" s="28">
        <v>836867297</v>
      </c>
      <c r="L30" s="48" t="s">
        <v>15</v>
      </c>
      <c r="M30" s="28">
        <v>11030995506</v>
      </c>
      <c r="N30" s="28">
        <v>7662061941.1700001</v>
      </c>
      <c r="P30" s="48" t="s">
        <v>15</v>
      </c>
      <c r="Q30" s="28">
        <v>603979925</v>
      </c>
      <c r="R30" s="28">
        <v>320292355</v>
      </c>
    </row>
    <row r="31" spans="1:18" x14ac:dyDescent="0.25">
      <c r="H31" s="48" t="s">
        <v>17</v>
      </c>
      <c r="I31" s="28">
        <v>169042882</v>
      </c>
      <c r="J31" s="28">
        <v>84852520</v>
      </c>
      <c r="L31" s="48" t="s">
        <v>17</v>
      </c>
      <c r="M31" s="28">
        <v>781373721</v>
      </c>
      <c r="N31" s="28">
        <v>296028385</v>
      </c>
      <c r="P31" s="48" t="s">
        <v>17</v>
      </c>
      <c r="Q31" s="28">
        <v>22000000</v>
      </c>
      <c r="R31" s="28">
        <v>1723973</v>
      </c>
    </row>
    <row r="32" spans="1:18" x14ac:dyDescent="0.25">
      <c r="C32" s="85"/>
      <c r="D32" s="85"/>
      <c r="H32" s="48" t="s">
        <v>18</v>
      </c>
      <c r="I32" s="28"/>
      <c r="J32" s="28"/>
      <c r="L32" s="48" t="s">
        <v>18</v>
      </c>
      <c r="M32" s="28">
        <v>216373675</v>
      </c>
      <c r="N32" s="28">
        <v>216373675</v>
      </c>
      <c r="P32" s="48" t="s">
        <v>18</v>
      </c>
      <c r="Q32" s="28"/>
      <c r="R32" s="28"/>
    </row>
    <row r="33" spans="3:18" x14ac:dyDescent="0.25">
      <c r="C33" s="85"/>
      <c r="D33" s="85"/>
      <c r="H33" s="60" t="s">
        <v>16</v>
      </c>
      <c r="I33" s="36"/>
      <c r="J33" s="36"/>
      <c r="L33" s="60" t="s">
        <v>16</v>
      </c>
      <c r="M33" s="36">
        <v>21710540</v>
      </c>
      <c r="N33" s="36">
        <v>14761944</v>
      </c>
      <c r="P33" s="60" t="s">
        <v>16</v>
      </c>
      <c r="Q33" s="36"/>
      <c r="R33" s="36"/>
    </row>
    <row r="34" spans="3:18" x14ac:dyDescent="0.25">
      <c r="C34" s="42"/>
      <c r="D34" s="42"/>
      <c r="H34" s="67" t="s">
        <v>29</v>
      </c>
      <c r="I34" s="68">
        <f>SUM(I29:I33)</f>
        <v>8222507099</v>
      </c>
      <c r="J34" s="68">
        <f>SUM(J29:J33)</f>
        <v>6369853262</v>
      </c>
      <c r="L34" s="67" t="s">
        <v>29</v>
      </c>
      <c r="M34" s="68">
        <f>SUM(M29:M33)</f>
        <v>146639048417</v>
      </c>
      <c r="N34" s="68">
        <f>SUM(N29:N33)</f>
        <v>120540018078.17</v>
      </c>
      <c r="P34" s="67" t="s">
        <v>29</v>
      </c>
      <c r="Q34" s="68">
        <f>SUM(Q29:Q33)</f>
        <v>5440262328</v>
      </c>
      <c r="R34" s="68">
        <f>SUM(R29:R33)</f>
        <v>4262800215</v>
      </c>
    </row>
    <row r="35" spans="3:18" x14ac:dyDescent="0.25">
      <c r="C35" s="61"/>
      <c r="D35" s="61"/>
      <c r="H35" s="51" t="s">
        <v>28</v>
      </c>
      <c r="I35" s="36">
        <v>6759642033</v>
      </c>
      <c r="J35" s="36">
        <v>6571922461.6800003</v>
      </c>
      <c r="L35" s="51" t="s">
        <v>28</v>
      </c>
      <c r="M35" s="36"/>
      <c r="N35" s="36"/>
      <c r="P35" s="51" t="s">
        <v>28</v>
      </c>
      <c r="Q35" s="36"/>
      <c r="R35" s="36"/>
    </row>
    <row r="36" spans="3:18" x14ac:dyDescent="0.25">
      <c r="H36" s="51" t="s">
        <v>30</v>
      </c>
      <c r="I36" s="36">
        <v>1016639953</v>
      </c>
      <c r="J36" s="36">
        <v>465063423</v>
      </c>
      <c r="L36" s="51" t="s">
        <v>30</v>
      </c>
      <c r="M36" s="36"/>
      <c r="N36" s="36"/>
      <c r="P36" s="51" t="s">
        <v>30</v>
      </c>
      <c r="Q36" s="36"/>
      <c r="R36" s="36"/>
    </row>
    <row r="37" spans="3:18" x14ac:dyDescent="0.25">
      <c r="H37" s="67" t="s">
        <v>31</v>
      </c>
      <c r="I37" s="68">
        <f>+I35+I36</f>
        <v>7776281986</v>
      </c>
      <c r="J37" s="68">
        <f>+J35+J36</f>
        <v>7036985884.6800003</v>
      </c>
      <c r="L37" s="67" t="s">
        <v>31</v>
      </c>
      <c r="M37" s="68">
        <f>+M35+M36</f>
        <v>0</v>
      </c>
      <c r="N37" s="68">
        <f>+N35+N36</f>
        <v>0</v>
      </c>
      <c r="P37" s="67" t="s">
        <v>31</v>
      </c>
      <c r="Q37" s="68">
        <f>+Q35+Q36</f>
        <v>0</v>
      </c>
      <c r="R37" s="68">
        <f>+R35+R36</f>
        <v>0</v>
      </c>
    </row>
    <row r="38" spans="3:18" ht="15.75" thickBot="1" x14ac:dyDescent="0.3">
      <c r="H38" s="52" t="s">
        <v>19</v>
      </c>
      <c r="I38" s="45">
        <f>+I34+I37</f>
        <v>15998789085</v>
      </c>
      <c r="J38" s="45">
        <f>+J34+J37</f>
        <v>13406839146.68</v>
      </c>
      <c r="L38" s="52" t="s">
        <v>19</v>
      </c>
      <c r="M38" s="45">
        <f>+M34+M37</f>
        <v>146639048417</v>
      </c>
      <c r="N38" s="45">
        <f>+N34+N37</f>
        <v>120540018078.17</v>
      </c>
      <c r="P38" s="52" t="s">
        <v>19</v>
      </c>
      <c r="Q38" s="45">
        <f>+Q34+Q37</f>
        <v>5440262328</v>
      </c>
      <c r="R38" s="45">
        <f>+R34+R37</f>
        <v>4262800215</v>
      </c>
    </row>
    <row r="40" spans="3:18" x14ac:dyDescent="0.25">
      <c r="H40" s="96" t="s">
        <v>41</v>
      </c>
      <c r="I40" s="96"/>
      <c r="J40" s="96"/>
      <c r="L40" s="96" t="s">
        <v>42</v>
      </c>
      <c r="M40" s="96"/>
      <c r="N40" s="96"/>
      <c r="P40" s="96" t="s">
        <v>43</v>
      </c>
      <c r="Q40" s="96"/>
      <c r="R40" s="96"/>
    </row>
    <row r="41" spans="3:18" ht="15.75" thickBot="1" x14ac:dyDescent="0.3">
      <c r="H41" s="69" t="s">
        <v>12</v>
      </c>
      <c r="I41" s="70" t="s">
        <v>4</v>
      </c>
      <c r="J41" s="70" t="s">
        <v>5</v>
      </c>
      <c r="L41" s="69" t="s">
        <v>12</v>
      </c>
      <c r="M41" s="70" t="s">
        <v>4</v>
      </c>
      <c r="N41" s="70" t="s">
        <v>5</v>
      </c>
      <c r="P41" s="69" t="s">
        <v>12</v>
      </c>
      <c r="Q41" s="70" t="s">
        <v>4</v>
      </c>
      <c r="R41" s="70" t="s">
        <v>5</v>
      </c>
    </row>
    <row r="42" spans="3:18" x14ac:dyDescent="0.25">
      <c r="H42" s="47" t="s">
        <v>13</v>
      </c>
      <c r="I42" s="39">
        <f>8386913234+58224834</f>
        <v>8445138068</v>
      </c>
      <c r="J42" s="39">
        <f>8355041643+55272304</f>
        <v>8410313947</v>
      </c>
      <c r="L42" s="47" t="s">
        <v>13</v>
      </c>
      <c r="M42" s="39">
        <v>177529331647</v>
      </c>
      <c r="N42" s="39">
        <v>176732123539</v>
      </c>
      <c r="P42" s="47" t="s">
        <v>13</v>
      </c>
      <c r="Q42" s="39">
        <v>6325297670</v>
      </c>
      <c r="R42" s="39">
        <v>6222515441</v>
      </c>
    </row>
    <row r="43" spans="3:18" x14ac:dyDescent="0.25">
      <c r="H43" s="48" t="s">
        <v>15</v>
      </c>
      <c r="I43" s="28">
        <v>1118020870</v>
      </c>
      <c r="J43" s="28">
        <v>1111651431.6300001</v>
      </c>
      <c r="L43" s="48" t="s">
        <v>15</v>
      </c>
      <c r="M43" s="28">
        <v>10616050287</v>
      </c>
      <c r="N43" s="28">
        <v>10559281188.26</v>
      </c>
      <c r="P43" s="48" t="s">
        <v>15</v>
      </c>
      <c r="Q43" s="28">
        <v>473133505</v>
      </c>
      <c r="R43" s="28">
        <v>471279509.72000003</v>
      </c>
    </row>
    <row r="44" spans="3:18" x14ac:dyDescent="0.25">
      <c r="H44" s="48" t="s">
        <v>17</v>
      </c>
      <c r="I44" s="28">
        <v>63277612</v>
      </c>
      <c r="J44" s="28">
        <v>57674624</v>
      </c>
      <c r="L44" s="48" t="s">
        <v>17</v>
      </c>
      <c r="M44" s="28">
        <v>361434684</v>
      </c>
      <c r="N44" s="28">
        <v>343262945</v>
      </c>
      <c r="P44" s="48" t="s">
        <v>17</v>
      </c>
      <c r="Q44" s="28">
        <v>6493845</v>
      </c>
      <c r="R44" s="28">
        <v>6374174</v>
      </c>
    </row>
    <row r="45" spans="3:18" x14ac:dyDescent="0.25">
      <c r="H45" s="48" t="s">
        <v>18</v>
      </c>
      <c r="I45" s="28"/>
      <c r="J45" s="28"/>
      <c r="L45" s="48" t="s">
        <v>18</v>
      </c>
      <c r="M45" s="28">
        <v>216373675</v>
      </c>
      <c r="N45" s="28">
        <v>216373675</v>
      </c>
      <c r="P45" s="48" t="s">
        <v>18</v>
      </c>
      <c r="Q45" s="28"/>
      <c r="R45" s="28"/>
    </row>
    <row r="46" spans="3:18" x14ac:dyDescent="0.25">
      <c r="H46" s="60" t="s">
        <v>16</v>
      </c>
      <c r="I46" s="36"/>
      <c r="J46" s="36"/>
      <c r="L46" s="60" t="s">
        <v>16</v>
      </c>
      <c r="M46" s="36">
        <v>14761944</v>
      </c>
      <c r="N46" s="36">
        <v>14761944</v>
      </c>
      <c r="P46" s="60" t="s">
        <v>16</v>
      </c>
      <c r="Q46" s="36"/>
      <c r="R46" s="36"/>
    </row>
    <row r="47" spans="3:18" x14ac:dyDescent="0.25">
      <c r="H47" s="67" t="s">
        <v>29</v>
      </c>
      <c r="I47" s="68">
        <f>SUM(I42:I46)</f>
        <v>9626436550</v>
      </c>
      <c r="J47" s="68">
        <f>SUM(J42:J46)</f>
        <v>9579640002.6300011</v>
      </c>
      <c r="L47" s="67" t="s">
        <v>29</v>
      </c>
      <c r="M47" s="68">
        <f>SUM(M42:M46)</f>
        <v>188737952237</v>
      </c>
      <c r="N47" s="68">
        <f>SUM(N42:N46)</f>
        <v>187865803291.26001</v>
      </c>
      <c r="P47" s="67" t="s">
        <v>29</v>
      </c>
      <c r="Q47" s="68">
        <f>SUM(Q42:Q46)</f>
        <v>6804925020</v>
      </c>
      <c r="R47" s="68">
        <f>SUM(R42:R46)</f>
        <v>6700169124.7200003</v>
      </c>
    </row>
    <row r="48" spans="3:18" x14ac:dyDescent="0.25">
      <c r="H48" s="51" t="s">
        <v>28</v>
      </c>
      <c r="I48" s="36">
        <v>7059748700</v>
      </c>
      <c r="J48" s="36">
        <v>7059646745.6599998</v>
      </c>
      <c r="L48" s="51" t="s">
        <v>28</v>
      </c>
      <c r="M48" s="36"/>
      <c r="N48" s="36"/>
      <c r="P48" s="51" t="s">
        <v>28</v>
      </c>
      <c r="Q48" s="36"/>
      <c r="R48" s="36"/>
    </row>
    <row r="49" spans="8:18" x14ac:dyDescent="0.25">
      <c r="H49" s="51" t="s">
        <v>30</v>
      </c>
      <c r="I49" s="36">
        <v>974881655</v>
      </c>
      <c r="J49" s="36">
        <v>974855232</v>
      </c>
      <c r="L49" s="51" t="s">
        <v>30</v>
      </c>
      <c r="M49" s="36"/>
      <c r="N49" s="36"/>
      <c r="P49" s="51" t="s">
        <v>30</v>
      </c>
      <c r="Q49" s="36"/>
      <c r="R49" s="36"/>
    </row>
    <row r="50" spans="8:18" x14ac:dyDescent="0.25">
      <c r="H50" s="67" t="s">
        <v>31</v>
      </c>
      <c r="I50" s="68">
        <f>+I48+I49</f>
        <v>8034630355</v>
      </c>
      <c r="J50" s="68">
        <f>+J48+J49</f>
        <v>8034501977.6599998</v>
      </c>
      <c r="L50" s="67" t="s">
        <v>31</v>
      </c>
      <c r="M50" s="68">
        <f>+M48+M49</f>
        <v>0</v>
      </c>
      <c r="N50" s="68">
        <f>+N48+N49</f>
        <v>0</v>
      </c>
      <c r="P50" s="67" t="s">
        <v>31</v>
      </c>
      <c r="Q50" s="68">
        <f>+Q48+Q49</f>
        <v>0</v>
      </c>
      <c r="R50" s="68">
        <f>+R48+R49</f>
        <v>0</v>
      </c>
    </row>
    <row r="51" spans="8:18" ht="15.75" thickBot="1" x14ac:dyDescent="0.3">
      <c r="H51" s="52" t="s">
        <v>19</v>
      </c>
      <c r="I51" s="45">
        <f>+I47+I50</f>
        <v>17661066905</v>
      </c>
      <c r="J51" s="45">
        <f>+J47+J50</f>
        <v>17614141980.290001</v>
      </c>
      <c r="L51" s="52" t="s">
        <v>19</v>
      </c>
      <c r="M51" s="45">
        <f>+M47+M50</f>
        <v>188737952237</v>
      </c>
      <c r="N51" s="45">
        <f>+N47+N50</f>
        <v>187865803291.26001</v>
      </c>
      <c r="P51" s="52" t="s">
        <v>19</v>
      </c>
      <c r="Q51" s="45">
        <f>+Q47+Q50</f>
        <v>6804925020</v>
      </c>
      <c r="R51" s="45">
        <f>+R47+R50</f>
        <v>6700169124.7200003</v>
      </c>
    </row>
  </sheetData>
  <mergeCells count="16">
    <mergeCell ref="H40:J40"/>
    <mergeCell ref="L40:N40"/>
    <mergeCell ref="P40:R40"/>
    <mergeCell ref="A16:A22"/>
    <mergeCell ref="A23:A29"/>
    <mergeCell ref="H27:J27"/>
    <mergeCell ref="L27:N27"/>
    <mergeCell ref="P27:R27"/>
    <mergeCell ref="H1:J1"/>
    <mergeCell ref="L1:N1"/>
    <mergeCell ref="P1:R1"/>
    <mergeCell ref="A2:A8"/>
    <mergeCell ref="A9:A15"/>
    <mergeCell ref="H14:J14"/>
    <mergeCell ref="L14:N14"/>
    <mergeCell ref="P14:R14"/>
  </mergeCells>
  <pageMargins left="0.11811023622047245" right="0.11811023622047245" top="0.74803149606299213" bottom="0.74803149606299213" header="0.31496062992125984" footer="0.31496062992125984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F35DD11DF2FC4ABC63E178DE5A387E" ma:contentTypeVersion="16" ma:contentTypeDescription="Crear nuevo documento." ma:contentTypeScope="" ma:versionID="f49a9a3c707ac81e2d3acb57bb98a9be">
  <xsd:schema xmlns:xsd="http://www.w3.org/2001/XMLSchema" xmlns:xs="http://www.w3.org/2001/XMLSchema" xmlns:p="http://schemas.microsoft.com/office/2006/metadata/properties" xmlns:ns3="cfb2f346-fbe2-440c-b8fc-4397855baede" xmlns:ns4="f028618a-47d7-48d6-b1ec-3ff916b7305f" targetNamespace="http://schemas.microsoft.com/office/2006/metadata/properties" ma:root="true" ma:fieldsID="53dbaac227334d7449d054a475678dde" ns3:_="" ns4:_="">
    <xsd:import namespace="cfb2f346-fbe2-440c-b8fc-4397855baede"/>
    <xsd:import namespace="f028618a-47d7-48d6-b1ec-3ff916b7305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_activity" minOccurs="0"/>
                <xsd:element ref="ns3:MediaServiceObjectDetectorVersions" minOccurs="0"/>
                <xsd:element ref="ns3:MediaServiceSearchProperties" minOccurs="0"/>
                <xsd:element ref="ns3:MediaLengthInSeconds" minOccurs="0"/>
                <xsd:element ref="ns3:MediaServiceSystemTag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b2f346-fbe2-440c-b8fc-4397855bae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28618a-47d7-48d6-b1ec-3ff916b730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fb2f346-fbe2-440c-b8fc-4397855baed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AA840C-93F8-4B63-9ECB-EE53434C41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b2f346-fbe2-440c-b8fc-4397855baede"/>
    <ds:schemaRef ds:uri="f028618a-47d7-48d6-b1ec-3ff916b730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F23F9B-2542-4964-B461-F5559C8E1878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purl.org/dc/terms/"/>
    <ds:schemaRef ds:uri="cfb2f346-fbe2-440c-b8fc-4397855baede"/>
    <ds:schemaRef ds:uri="http://www.w3.org/XML/1998/namespace"/>
    <ds:schemaRef ds:uri="http://schemas.microsoft.com/office/infopath/2007/PartnerControls"/>
    <ds:schemaRef ds:uri="f028618a-47d7-48d6-b1ec-3ff916b7305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7C6BD7C-3A20-42A9-8FB0-72FA67C3E7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Analisis Indicadores</vt:lpstr>
      <vt:lpstr>Presupuesto_2024_Meta</vt:lpstr>
      <vt:lpstr>Presupuesto_2024_EjecutadoGfto </vt:lpstr>
      <vt:lpstr>Ejecución por Gasto </vt:lpstr>
      <vt:lpstr>Ejecución por Gasto2024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John Oueimer Martinez Rojas</cp:lastModifiedBy>
  <cp:lastPrinted>2022-05-10T12:21:40Z</cp:lastPrinted>
  <dcterms:created xsi:type="dcterms:W3CDTF">2017-08-17T18:48:12Z</dcterms:created>
  <dcterms:modified xsi:type="dcterms:W3CDTF">2025-02-11T19:14:22Z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0x0101009FF35DD11DF2FC4ABC63E178DE5A387E</vt:lpwstr>
  </property>
</Properties>
</file>